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 на сайт\"/>
    </mc:Choice>
  </mc:AlternateContent>
  <bookViews>
    <workbookView xWindow="0" yWindow="0" windowWidth="1998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28" i="1" l="1"/>
  <c r="H28" i="1"/>
  <c r="G28" i="1"/>
  <c r="I47" i="1"/>
  <c r="H47" i="1"/>
  <c r="G47" i="1"/>
  <c r="I66" i="1"/>
  <c r="H66" i="1"/>
  <c r="G66" i="1"/>
  <c r="J66" i="1" s="1"/>
  <c r="I85" i="1"/>
  <c r="H85" i="1"/>
  <c r="G85" i="1"/>
  <c r="J85" i="1" s="1"/>
  <c r="I104" i="1"/>
  <c r="H104" i="1"/>
  <c r="G104" i="1"/>
  <c r="J104" i="1" s="1"/>
  <c r="I123" i="1"/>
  <c r="H123" i="1"/>
  <c r="G123" i="1"/>
  <c r="I142" i="1"/>
  <c r="H142" i="1"/>
  <c r="G142" i="1"/>
  <c r="I161" i="1"/>
  <c r="H161" i="1"/>
  <c r="G161" i="1"/>
  <c r="J161" i="1" s="1"/>
  <c r="I180" i="1"/>
  <c r="H180" i="1"/>
  <c r="G180" i="1"/>
  <c r="I190" i="1"/>
  <c r="H190" i="1"/>
  <c r="G190" i="1"/>
  <c r="I171" i="1"/>
  <c r="H171" i="1"/>
  <c r="G171" i="1"/>
  <c r="I152" i="1"/>
  <c r="H152" i="1"/>
  <c r="G152" i="1"/>
  <c r="J152" i="1" s="1"/>
  <c r="I133" i="1"/>
  <c r="H133" i="1"/>
  <c r="G133" i="1"/>
  <c r="I114" i="1"/>
  <c r="H114" i="1"/>
  <c r="G114" i="1"/>
  <c r="J114" i="1" s="1"/>
  <c r="I95" i="1"/>
  <c r="J95" i="1" s="1"/>
  <c r="H95" i="1"/>
  <c r="G95" i="1"/>
  <c r="I76" i="1"/>
  <c r="H76" i="1"/>
  <c r="G76" i="1"/>
  <c r="J76" i="1" s="1"/>
  <c r="I57" i="1"/>
  <c r="H57" i="1"/>
  <c r="G57" i="1"/>
  <c r="J57" i="1" s="1"/>
  <c r="I38" i="1"/>
  <c r="H38" i="1"/>
  <c r="G38" i="1"/>
  <c r="J38" i="1" s="1"/>
  <c r="I19" i="1"/>
  <c r="H19" i="1"/>
  <c r="G19" i="1"/>
  <c r="J19" i="1" l="1"/>
  <c r="J28" i="1"/>
  <c r="J190" i="1"/>
  <c r="J171" i="1"/>
  <c r="J123" i="1"/>
  <c r="J133" i="1"/>
  <c r="J142" i="1"/>
  <c r="J180" i="1"/>
  <c r="J47" i="1"/>
  <c r="J189" i="1" l="1"/>
  <c r="J188" i="1"/>
  <c r="I187" i="1"/>
  <c r="J187" i="1" s="1"/>
  <c r="H187" i="1"/>
  <c r="G187" i="1"/>
  <c r="I186" i="1"/>
  <c r="H186" i="1"/>
  <c r="G186" i="1"/>
  <c r="J186" i="1" s="1"/>
  <c r="J185" i="1"/>
  <c r="J181" i="1"/>
  <c r="J183" i="1"/>
  <c r="I182" i="1"/>
  <c r="H182" i="1"/>
  <c r="G182" i="1"/>
  <c r="J182" i="1" s="1"/>
  <c r="J179" i="1"/>
  <c r="J177" i="1"/>
  <c r="J170" i="1"/>
  <c r="I169" i="1"/>
  <c r="H169" i="1"/>
  <c r="G169" i="1"/>
  <c r="J169" i="1" s="1"/>
  <c r="I168" i="1"/>
  <c r="H168" i="1"/>
  <c r="G168" i="1"/>
  <c r="J167" i="1"/>
  <c r="I166" i="1"/>
  <c r="H166" i="1"/>
  <c r="G166" i="1"/>
  <c r="I160" i="1"/>
  <c r="H160" i="1"/>
  <c r="G160" i="1"/>
  <c r="J160" i="1" s="1"/>
  <c r="J162" i="1"/>
  <c r="I159" i="1"/>
  <c r="J159" i="1" s="1"/>
  <c r="H159" i="1"/>
  <c r="G159" i="1"/>
  <c r="J158" i="1"/>
  <c r="J151" i="1"/>
  <c r="I149" i="1"/>
  <c r="H149" i="1"/>
  <c r="G149" i="1"/>
  <c r="I148" i="1"/>
  <c r="H148" i="1"/>
  <c r="G148" i="1"/>
  <c r="I147" i="1"/>
  <c r="H147" i="1"/>
  <c r="G147" i="1"/>
  <c r="J144" i="1"/>
  <c r="J141" i="1"/>
  <c r="G143" i="1"/>
  <c r="J143" i="1" s="1"/>
  <c r="I139" i="1"/>
  <c r="H139" i="1"/>
  <c r="G139" i="1"/>
  <c r="J132" i="1"/>
  <c r="I131" i="1"/>
  <c r="H131" i="1"/>
  <c r="J131" i="1" s="1"/>
  <c r="G131" i="1"/>
  <c r="I130" i="1"/>
  <c r="H130" i="1"/>
  <c r="G130" i="1"/>
  <c r="I128" i="1"/>
  <c r="H128" i="1"/>
  <c r="G128" i="1"/>
  <c r="J125" i="1"/>
  <c r="J122" i="1"/>
  <c r="J121" i="1"/>
  <c r="J113" i="1"/>
  <c r="I112" i="1"/>
  <c r="H112" i="1"/>
  <c r="G112" i="1"/>
  <c r="I111" i="1"/>
  <c r="H111" i="1"/>
  <c r="G111" i="1"/>
  <c r="J110" i="1"/>
  <c r="J109" i="1"/>
  <c r="I106" i="1"/>
  <c r="H106" i="1"/>
  <c r="G106" i="1"/>
  <c r="J106" i="1" s="1"/>
  <c r="J105" i="1"/>
  <c r="J103" i="1"/>
  <c r="J101" i="1"/>
  <c r="J94" i="1"/>
  <c r="I93" i="1"/>
  <c r="H93" i="1"/>
  <c r="G93" i="1"/>
  <c r="I92" i="1"/>
  <c r="H92" i="1"/>
  <c r="G92" i="1"/>
  <c r="J91" i="1"/>
  <c r="J90" i="1"/>
  <c r="J86" i="1"/>
  <c r="F89" i="1"/>
  <c r="I88" i="1"/>
  <c r="H88" i="1"/>
  <c r="G88" i="1"/>
  <c r="J87" i="1"/>
  <c r="J84" i="1"/>
  <c r="J75" i="1"/>
  <c r="I72" i="1"/>
  <c r="H72" i="1"/>
  <c r="G72" i="1"/>
  <c r="J71" i="1"/>
  <c r="G67" i="1"/>
  <c r="J65" i="1"/>
  <c r="I64" i="1"/>
  <c r="H64" i="1"/>
  <c r="G64" i="1"/>
  <c r="J63" i="1"/>
  <c r="J163" i="1" l="1"/>
  <c r="J64" i="1"/>
  <c r="J112" i="1"/>
  <c r="J148" i="1"/>
  <c r="J168" i="1"/>
  <c r="J130" i="1"/>
  <c r="J149" i="1"/>
  <c r="J111" i="1"/>
  <c r="J88" i="1"/>
  <c r="J139" i="1"/>
  <c r="J147" i="1"/>
  <c r="J166" i="1"/>
  <c r="J72" i="1"/>
  <c r="J73" i="1"/>
  <c r="J67" i="1"/>
  <c r="J92" i="1"/>
  <c r="J128" i="1"/>
  <c r="J93" i="1"/>
  <c r="J120" i="1"/>
  <c r="J56" i="1"/>
  <c r="I54" i="1"/>
  <c r="H54" i="1"/>
  <c r="G54" i="1"/>
  <c r="J53" i="1"/>
  <c r="I48" i="1"/>
  <c r="H48" i="1"/>
  <c r="G48" i="1"/>
  <c r="J46" i="1"/>
  <c r="I44" i="1"/>
  <c r="H44" i="1"/>
  <c r="G44" i="1"/>
  <c r="J54" i="1" l="1"/>
  <c r="J48" i="1"/>
  <c r="J44" i="1"/>
  <c r="J37" i="1"/>
  <c r="I36" i="1"/>
  <c r="H36" i="1"/>
  <c r="G36" i="1"/>
  <c r="J34" i="1"/>
  <c r="I35" i="1"/>
  <c r="H35" i="1"/>
  <c r="G35" i="1"/>
  <c r="J35" i="1" s="1"/>
  <c r="J33" i="1"/>
  <c r="J27" i="1"/>
  <c r="J26" i="1"/>
  <c r="I11" i="1"/>
  <c r="H11" i="1"/>
  <c r="G11" i="1"/>
  <c r="I25" i="1"/>
  <c r="H25" i="1"/>
  <c r="G25" i="1"/>
  <c r="J15" i="1"/>
  <c r="J18" i="1"/>
  <c r="I17" i="1"/>
  <c r="H17" i="1"/>
  <c r="G17" i="1"/>
  <c r="J17" i="1" s="1"/>
  <c r="I16" i="1"/>
  <c r="H16" i="1"/>
  <c r="G16" i="1"/>
  <c r="I14" i="1"/>
  <c r="H14" i="1"/>
  <c r="J10" i="1"/>
  <c r="I9" i="1"/>
  <c r="H9" i="1"/>
  <c r="G9" i="1"/>
  <c r="J9" i="1" s="1"/>
  <c r="I8" i="1"/>
  <c r="H8" i="1"/>
  <c r="G8" i="1"/>
  <c r="I6" i="1"/>
  <c r="H6" i="1"/>
  <c r="G6" i="1"/>
  <c r="J6" i="1" s="1"/>
  <c r="J25" i="1" l="1"/>
  <c r="J8" i="1"/>
  <c r="J11" i="1"/>
  <c r="J13" i="1" s="1"/>
  <c r="J16" i="1"/>
  <c r="J36" i="1"/>
  <c r="J42" i="1" s="1"/>
  <c r="L194" i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F23" i="1"/>
  <c r="G13" i="1"/>
  <c r="H13" i="1"/>
  <c r="I13" i="1"/>
  <c r="F13" i="1"/>
  <c r="L176" i="1" l="1"/>
  <c r="L157" i="1"/>
  <c r="L138" i="1"/>
  <c r="L100" i="1"/>
  <c r="L24" i="1"/>
  <c r="L119" i="1"/>
  <c r="J23" i="1"/>
  <c r="J24" i="1" s="1"/>
  <c r="L43" i="1"/>
  <c r="L62" i="1"/>
  <c r="L195" i="1"/>
  <c r="L81" i="1"/>
  <c r="I195" i="1"/>
  <c r="G176" i="1"/>
  <c r="J176" i="1"/>
  <c r="H157" i="1"/>
  <c r="H176" i="1"/>
  <c r="H100" i="1"/>
  <c r="J119" i="1"/>
  <c r="G157" i="1"/>
  <c r="I176" i="1"/>
  <c r="I138" i="1"/>
  <c r="G195" i="1"/>
  <c r="H195" i="1"/>
  <c r="J195" i="1"/>
  <c r="J157" i="1"/>
  <c r="I157" i="1"/>
  <c r="H138" i="1"/>
  <c r="J138" i="1"/>
  <c r="G138" i="1"/>
  <c r="H119" i="1"/>
  <c r="G119" i="1"/>
  <c r="I119" i="1"/>
  <c r="G100" i="1"/>
  <c r="J100" i="1"/>
  <c r="I100" i="1"/>
  <c r="J81" i="1"/>
  <c r="F81" i="1"/>
  <c r="I81" i="1"/>
  <c r="G81" i="1"/>
  <c r="H81" i="1"/>
  <c r="F62" i="1"/>
  <c r="J62" i="1"/>
  <c r="H62" i="1"/>
  <c r="I62" i="1"/>
  <c r="G62" i="1"/>
  <c r="F43" i="1"/>
  <c r="G43" i="1"/>
  <c r="J43" i="1"/>
  <c r="H43" i="1"/>
  <c r="I43" i="1"/>
  <c r="F119" i="1"/>
  <c r="F138" i="1"/>
  <c r="F157" i="1"/>
  <c r="F176" i="1"/>
  <c r="F195" i="1"/>
  <c r="I24" i="1"/>
  <c r="F24" i="1"/>
  <c r="H24" i="1"/>
  <c r="G24" i="1"/>
  <c r="L196" i="1" l="1"/>
  <c r="H196" i="1"/>
  <c r="J196" i="1"/>
  <c r="G196" i="1"/>
  <c r="F196" i="1"/>
  <c r="I196" i="1"/>
</calcChain>
</file>

<file path=xl/sharedStrings.xml><?xml version="1.0" encoding="utf-8"?>
<sst xmlns="http://schemas.openxmlformats.org/spreadsheetml/2006/main" count="342" uniqueCount="108">
  <si>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</si>
  <si>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</si>
  <si>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</si>
  <si>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</si>
  <si>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</si>
  <si>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</si>
  <si>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</si>
  <si>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</si>
  <si>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</si>
  <si>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</si>
  <si>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</si>
  <si>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</si>
  <si>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</si>
  <si>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</si>
  <si>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</si>
  <si>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</si>
  <si>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</si>
  <si>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</si>
  <si>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</si>
  <si>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</si>
  <si>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</si>
  <si>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</si>
  <si>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</si>
  <si>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</si>
  <si>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</si>
  <si>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</si>
  <si>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</si>
  <si>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</si>
  <si>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</si>
  <si>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</si>
  <si>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</si>
  <si>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</si>
  <si>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</si>
  <si>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</si>
  <si>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</si>
  <si>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</si>
  <si>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</si>
  <si>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</si>
  <si>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</si>
  <si>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геркулесовая молочная с маслом сливочным</t>
  </si>
  <si>
    <t>Директор</t>
  </si>
  <si>
    <t xml:space="preserve">Какао с молоком </t>
  </si>
  <si>
    <t>Хлеб пшеничный</t>
  </si>
  <si>
    <t>ПР</t>
  </si>
  <si>
    <t xml:space="preserve">Яблоко </t>
  </si>
  <si>
    <t>Сыр твердо-мягкий порционно с м.д.ж. 45%</t>
  </si>
  <si>
    <t>Салат из белокачанной капусты с морковью</t>
  </si>
  <si>
    <t>Суп картофельный с горохом и фрикаделькой из птицы "Детские" (ГОСТ)</t>
  </si>
  <si>
    <t>Палочки мясные "Детские" запеченые (в соответствии с ГОСТ Р 55366-2012)</t>
  </si>
  <si>
    <t>Макаронные изделия отварные с маслом сливочным</t>
  </si>
  <si>
    <t>Чай с лимоном</t>
  </si>
  <si>
    <t>Хлеб ржано-пшеничный</t>
  </si>
  <si>
    <t>Котлета "Говяжья Школьная" запеченная (в соответствии с ГОСТ Р 55366-2012)</t>
  </si>
  <si>
    <t xml:space="preserve">Рис отварной с маслом сливочным 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</si>
  <si>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</si>
  <si>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</si>
  <si>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</si>
  <si>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Рыба, запеченная с овощами и сыром</t>
  </si>
  <si>
    <t xml:space="preserve">Картофельное пюре с маслом сливочным </t>
  </si>
  <si>
    <t xml:space="preserve">Компот из смеси сухофруктов     С- витаминизированный </t>
  </si>
  <si>
    <t xml:space="preserve">Пудинг творожно-пшенный с сахарной пудрой   </t>
  </si>
  <si>
    <t>Чай  с сахаром</t>
  </si>
  <si>
    <t>Салат из моркови с яблоком</t>
  </si>
  <si>
    <t xml:space="preserve">Борщ со свежей капустой и картофелем с фрикаделькой из мяса "Детская" </t>
  </si>
  <si>
    <t>Плов  с  птицей</t>
  </si>
  <si>
    <t xml:space="preserve">Компот из свежих яблок и лимона </t>
  </si>
  <si>
    <t>Салат из свежей капусты с зеленью  "Молодость"</t>
  </si>
  <si>
    <t>Рассольник "Ленинградский" на бульоне</t>
  </si>
  <si>
    <t>Сок фруктовый</t>
  </si>
  <si>
    <t xml:space="preserve">Омлет натуральный с маслом сливочным </t>
  </si>
  <si>
    <t>Зеленый горошек</t>
  </si>
  <si>
    <t>Суп картофельный с рыбными фрикадельками</t>
  </si>
  <si>
    <t>Котлета "Куриная"</t>
  </si>
  <si>
    <t>Капуста тушеная</t>
  </si>
  <si>
    <t xml:space="preserve">Каша гречневая молочная с маслом сливочным </t>
  </si>
  <si>
    <t>Апельсин</t>
  </si>
  <si>
    <t>Борщ "Сибирский" с фасолью</t>
  </si>
  <si>
    <t>Печень тушеная в соусе</t>
  </si>
  <si>
    <t>Напиток из  яблок  витаминизированный</t>
  </si>
  <si>
    <t>Каша "Дружба" с маслом сливочным</t>
  </si>
  <si>
    <t>Винегрет овощной</t>
  </si>
  <si>
    <t xml:space="preserve">Птица, порционная  запеченая </t>
  </si>
  <si>
    <t>Запеканка творожно-рисовая с маслом сливочным</t>
  </si>
  <si>
    <t xml:space="preserve">Молоко сгущенное порционно </t>
  </si>
  <si>
    <t>Суп картофельный с клецками</t>
  </si>
  <si>
    <t xml:space="preserve">Жаркое по- домашнему </t>
  </si>
  <si>
    <t xml:space="preserve">Овощи порционно / Огурец </t>
  </si>
  <si>
    <t>Тефтели "Детские" под овощным соусом (в соответствии с ГОСТ Р 55366-2012)</t>
  </si>
  <si>
    <t>Салат из свеклы с сыром и маслом растительным</t>
  </si>
  <si>
    <t>Щи из свежей капусты с фрикаделькой из птицы "Детская"</t>
  </si>
  <si>
    <t xml:space="preserve">Рыба, запеченная под соусом </t>
  </si>
  <si>
    <t xml:space="preserve">Суп картофельный с вермишелью на курином бульоне  </t>
  </si>
  <si>
    <t>Котлеты "Куриные"</t>
  </si>
  <si>
    <t>Каша гречневая  рассыпчатая с маслом</t>
  </si>
  <si>
    <t>Джем фруктовый с кусочками фруктов</t>
  </si>
  <si>
    <t>Мирошникова Е.Н.</t>
  </si>
  <si>
    <t>МБОУ "ООШ с. Большое" Чернянского района Белгородской области</t>
  </si>
  <si>
    <t>Салат из  капусты с огурцом соленым</t>
  </si>
  <si>
    <t>Фрикадельки из мяса птицы с соусом молочным (в соответствии с ГОСТ Р 55790-2013)</t>
  </si>
  <si>
    <t>Яблоко</t>
  </si>
  <si>
    <t>Рагу из свинины</t>
  </si>
  <si>
    <t>Банан</t>
  </si>
  <si>
    <t xml:space="preserve">Салат из  капусты с огурцом соленым </t>
  </si>
  <si>
    <t>Зразы рыбные рубленные с яйцом (открытые)</t>
  </si>
  <si>
    <t>Холодная закуска: Овощи соленые порционно/Огурец</t>
  </si>
  <si>
    <t>Чай с сахаром</t>
  </si>
  <si>
    <t>Фасоль красная с растительным маслом</t>
  </si>
  <si>
    <t>Кисель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</si>
</sst>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11" fillId="2" borderId="2" xfId="0" applyNumberFormat="1" applyFont="1" applyFill="1" applyBorder="1" applyAlignment="1" applyProtection="1">
      <alignment horizontal="center" vertical="top"/>
      <protection locked="0"/>
    </xf>
    <xf numFmtId="2" fontId="11" fillId="2" borderId="2" xfId="0" applyNumberFormat="1" applyFont="1" applyFill="1" applyBorder="1" applyAlignment="1" applyProtection="1">
      <alignment horizontal="center" vertical="top"/>
      <protection locked="0"/>
    </xf>
    <xf numFmtId="1" fontId="11" fillId="2" borderId="2" xfId="0" applyNumberFormat="1" applyFont="1" applyFill="1" applyBorder="1" applyAlignment="1">
      <alignment horizontal="center" vertical="top"/>
    </xf>
    <xf numFmtId="2" fontId="11" fillId="2" borderId="2" xfId="0" applyNumberFormat="1" applyFont="1" applyFill="1" applyBorder="1" applyAlignment="1">
      <alignment horizontal="center" vertical="top"/>
    </xf>
    <xf numFmtId="164" fontId="11" fillId="2" borderId="2" xfId="0" applyNumberFormat="1" applyFont="1" applyFill="1" applyBorder="1" applyAlignment="1">
      <alignment horizontal="center" vertical="top"/>
    </xf>
    <xf numFmtId="165" fontId="11" fillId="2" borderId="2" xfId="0" applyNumberFormat="1" applyFont="1" applyFill="1" applyBorder="1" applyAlignment="1">
      <alignment horizontal="center" vertical="top"/>
    </xf>
    <xf numFmtId="0" fontId="11" fillId="2" borderId="2" xfId="0" applyNumberFormat="1" applyFont="1" applyFill="1" applyBorder="1" applyAlignment="1">
      <alignment horizontal="center" vertical="top" wrapText="1"/>
    </xf>
    <xf numFmtId="2" fontId="11" fillId="2" borderId="2" xfId="0" applyNumberFormat="1" applyFont="1" applyFill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 applyProtection="1">
      <alignment vertical="center" wrapText="1"/>
      <protection locked="0"/>
    </xf>
    <xf numFmtId="1" fontId="12" fillId="2" borderId="2" xfId="0" applyNumberFormat="1" applyFont="1" applyFill="1" applyBorder="1" applyAlignment="1">
      <alignment horizontal="center" vertical="top"/>
    </xf>
    <xf numFmtId="2" fontId="12" fillId="2" borderId="2" xfId="0" applyNumberFormat="1" applyFont="1" applyFill="1" applyBorder="1" applyAlignment="1">
      <alignment horizontal="center" vertical="top"/>
    </xf>
    <xf numFmtId="0" fontId="12" fillId="2" borderId="2" xfId="0" applyNumberFormat="1" applyFont="1" applyFill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E78" sqref="E7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96</v>
      </c>
      <c r="D1" s="76"/>
      <c r="E1" s="76"/>
      <c r="F1" s="12" t="s">
        <v>16</v>
      </c>
      <c r="G1" s="2" t="s">
        <v>17</v>
      </c>
      <c r="H1" s="77" t="s">
        <v>40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95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51">
        <v>200</v>
      </c>
      <c r="G6" s="52">
        <f>7.23*F6/200</f>
        <v>7.23</v>
      </c>
      <c r="H6" s="52">
        <f>9.81*F6/200</f>
        <v>9.81</v>
      </c>
      <c r="I6" s="52">
        <f>28.8*F6/200</f>
        <v>28.8</v>
      </c>
      <c r="J6" s="52">
        <f>G6*4+H6*9+I6*4</f>
        <v>232.41000000000003</v>
      </c>
      <c r="K6" s="41">
        <v>173</v>
      </c>
      <c r="L6" s="40">
        <v>9.3249999999999993</v>
      </c>
    </row>
    <row r="7" spans="1:12" ht="15" x14ac:dyDescent="0.25">
      <c r="A7" s="23"/>
      <c r="B7" s="15"/>
      <c r="C7" s="11"/>
      <c r="D7" s="6"/>
      <c r="E7" s="42"/>
      <c r="F7" s="53"/>
      <c r="G7" s="54"/>
      <c r="H7" s="54"/>
      <c r="I7" s="54"/>
      <c r="J7" s="54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54">
        <f>3.5*F8/200</f>
        <v>3.5</v>
      </c>
      <c r="H8" s="54">
        <f>3.7*F8/200</f>
        <v>3.7</v>
      </c>
      <c r="I8" s="54">
        <f>25.5*F8/200</f>
        <v>25.5</v>
      </c>
      <c r="J8" s="54">
        <f>G8*4+H8*9+I8*4</f>
        <v>149.30000000000001</v>
      </c>
      <c r="K8" s="44">
        <v>382</v>
      </c>
      <c r="L8" s="43">
        <v>16.225000000000001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53">
        <v>40</v>
      </c>
      <c r="G9" s="54">
        <f>1.52*F9/30</f>
        <v>2.0266666666666664</v>
      </c>
      <c r="H9" s="55">
        <f>0.16*F9/30</f>
        <v>0.21333333333333335</v>
      </c>
      <c r="I9" s="55">
        <f>9.84*F9/30</f>
        <v>13.120000000000001</v>
      </c>
      <c r="J9" s="55">
        <f>G9*4+H9*9+I9*4</f>
        <v>62.506666666666668</v>
      </c>
      <c r="K9" s="44" t="s">
        <v>43</v>
      </c>
      <c r="L9" s="43">
        <v>2.62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53">
        <v>100</v>
      </c>
      <c r="G10" s="54">
        <v>0.4</v>
      </c>
      <c r="H10" s="54">
        <v>0.4</v>
      </c>
      <c r="I10" s="54">
        <v>9.8000000000000007</v>
      </c>
      <c r="J10" s="54">
        <f>G10*4+H10*9+I10*4</f>
        <v>44.400000000000006</v>
      </c>
      <c r="K10" s="44">
        <v>338</v>
      </c>
      <c r="L10" s="43">
        <v>23.5</v>
      </c>
    </row>
    <row r="11" spans="1:12" ht="15" x14ac:dyDescent="0.25">
      <c r="A11" s="23"/>
      <c r="B11" s="15"/>
      <c r="C11" s="11"/>
      <c r="D11" s="6"/>
      <c r="E11" s="42" t="s">
        <v>45</v>
      </c>
      <c r="F11" s="53">
        <v>20</v>
      </c>
      <c r="G11" s="54">
        <f>2.32*F11/10</f>
        <v>4.6399999999999997</v>
      </c>
      <c r="H11" s="54">
        <f>3.4*F11/10</f>
        <v>6.8</v>
      </c>
      <c r="I11" s="54">
        <f>0.01*F11/10</f>
        <v>0.02</v>
      </c>
      <c r="J11" s="54">
        <f>G11*4+H11*9+I11*4</f>
        <v>79.839999999999989</v>
      </c>
      <c r="K11" s="44">
        <v>15</v>
      </c>
      <c r="L11" s="43">
        <v>14.13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>SUM(G6:G12)</f>
        <v>17.796666666666667</v>
      </c>
      <c r="H13" s="19">
        <f>SUM(H6:H12)</f>
        <v>20.923333333333336</v>
      </c>
      <c r="I13" s="19">
        <f>SUM(I6:I12)</f>
        <v>77.239999999999995</v>
      </c>
      <c r="J13" s="19">
        <f>SUM(J6:J12)</f>
        <v>568.45666666666671</v>
      </c>
      <c r="K13" s="25"/>
      <c r="L13" s="19">
        <f>SUM(L6:L12)</f>
        <v>65.8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53">
        <v>60</v>
      </c>
      <c r="G14" s="54">
        <v>0.94</v>
      </c>
      <c r="H14" s="54">
        <f>1.31*F14/60</f>
        <v>1.31</v>
      </c>
      <c r="I14" s="54">
        <f>5.6*F14/60</f>
        <v>5.6</v>
      </c>
      <c r="J14" s="54">
        <v>37.79</v>
      </c>
      <c r="K14" s="44">
        <v>45</v>
      </c>
      <c r="L14" s="43">
        <v>2.4300000000000002</v>
      </c>
    </row>
    <row r="15" spans="1:12" ht="25.5" x14ac:dyDescent="0.25">
      <c r="A15" s="23"/>
      <c r="B15" s="15"/>
      <c r="C15" s="11"/>
      <c r="D15" s="7" t="s">
        <v>27</v>
      </c>
      <c r="E15" s="42" t="s">
        <v>47</v>
      </c>
      <c r="F15" s="59">
        <v>210</v>
      </c>
      <c r="G15" s="54">
        <v>4.84</v>
      </c>
      <c r="H15" s="54">
        <v>3.1</v>
      </c>
      <c r="I15" s="54">
        <v>16.899999999999999</v>
      </c>
      <c r="J15" s="54">
        <f t="shared" ref="J15:J18" si="0">G15*4+H15*9+I15*4</f>
        <v>114.86</v>
      </c>
      <c r="K15" s="44">
        <v>102</v>
      </c>
      <c r="L15" s="43">
        <v>12.66</v>
      </c>
    </row>
    <row r="16" spans="1:12" ht="33.6" customHeight="1" x14ac:dyDescent="0.25">
      <c r="A16" s="23"/>
      <c r="B16" s="15"/>
      <c r="C16" s="11"/>
      <c r="D16" s="7" t="s">
        <v>28</v>
      </c>
      <c r="E16" s="60" t="s">
        <v>48</v>
      </c>
      <c r="F16" s="53">
        <v>90</v>
      </c>
      <c r="G16" s="54">
        <f>13.46*F16/80</f>
        <v>15.142500000000002</v>
      </c>
      <c r="H16" s="56">
        <f>10.86*F16/80</f>
        <v>12.217499999999999</v>
      </c>
      <c r="I16" s="56">
        <f>5.34*F16/80</f>
        <v>6.0074999999999994</v>
      </c>
      <c r="J16" s="54">
        <f t="shared" si="0"/>
        <v>194.5575</v>
      </c>
      <c r="K16" s="44">
        <v>268</v>
      </c>
      <c r="L16" s="43">
        <v>38.549999999999997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53">
        <v>150</v>
      </c>
      <c r="G17" s="54">
        <f>5.7*F17/150</f>
        <v>5.7</v>
      </c>
      <c r="H17" s="54">
        <f>3.43*F17/150</f>
        <v>3.43</v>
      </c>
      <c r="I17" s="54">
        <f>36.45*F17/150</f>
        <v>36.450000000000003</v>
      </c>
      <c r="J17" s="54">
        <f t="shared" si="0"/>
        <v>199.47000000000003</v>
      </c>
      <c r="K17" s="44">
        <v>203</v>
      </c>
      <c r="L17" s="43">
        <v>7.44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53">
        <v>200</v>
      </c>
      <c r="G18" s="54">
        <v>0.26</v>
      </c>
      <c r="H18" s="54">
        <v>0.06</v>
      </c>
      <c r="I18" s="54">
        <v>15.22</v>
      </c>
      <c r="J18" s="54">
        <f t="shared" si="0"/>
        <v>62.46</v>
      </c>
      <c r="K18" s="44">
        <v>377</v>
      </c>
      <c r="L18" s="43">
        <v>8.8699999999999992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53">
        <v>40</v>
      </c>
      <c r="G19" s="54">
        <f>1.52*F19/30</f>
        <v>2.0266666666666664</v>
      </c>
      <c r="H19" s="55">
        <f>0.16*F19/30</f>
        <v>0.21333333333333335</v>
      </c>
      <c r="I19" s="55">
        <f>9.84*F19/30</f>
        <v>13.120000000000001</v>
      </c>
      <c r="J19" s="55">
        <f>G19*4+H19*9+I19*4</f>
        <v>62.506666666666668</v>
      </c>
      <c r="K19" s="44" t="s">
        <v>43</v>
      </c>
      <c r="L19" s="43">
        <v>2.62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53">
        <v>40</v>
      </c>
      <c r="G20" s="54">
        <v>2.64</v>
      </c>
      <c r="H20" s="55">
        <v>0.48</v>
      </c>
      <c r="I20" s="55">
        <v>13.68</v>
      </c>
      <c r="J20" s="55">
        <v>69.599999999999994</v>
      </c>
      <c r="K20" s="44" t="s">
        <v>43</v>
      </c>
      <c r="L20" s="43">
        <v>1.43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31.549166666666668</v>
      </c>
      <c r="H23" s="19">
        <f>SUM(H14:H22)</f>
        <v>20.810833333333331</v>
      </c>
      <c r="I23" s="19">
        <f>SUM(I14:I22)</f>
        <v>106.97750000000002</v>
      </c>
      <c r="J23" s="19">
        <f>SUM(J14:J22)</f>
        <v>741.24416666666673</v>
      </c>
      <c r="K23" s="25"/>
      <c r="L23" s="19">
        <f>SUM(L14:L22)</f>
        <v>74.000000000000014</v>
      </c>
    </row>
    <row r="24" spans="1:12" ht="15.75" thickBot="1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1350</v>
      </c>
      <c r="G24" s="32">
        <f>G13+G23</f>
        <v>49.345833333333331</v>
      </c>
      <c r="H24" s="32">
        <f>H13+H23</f>
        <v>41.734166666666667</v>
      </c>
      <c r="I24" s="32">
        <f>I13+I23</f>
        <v>184.21750000000003</v>
      </c>
      <c r="J24" s="32">
        <f>J13+J23</f>
        <v>1309.7008333333333</v>
      </c>
      <c r="K24" s="32"/>
      <c r="L24" s="32">
        <f>L13+L23</f>
        <v>139.80000000000001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57">
        <v>90</v>
      </c>
      <c r="G25" s="58">
        <f>14.8*F25/80</f>
        <v>16.649999999999999</v>
      </c>
      <c r="H25" s="58">
        <f>20.69*F25/80</f>
        <v>23.276250000000001</v>
      </c>
      <c r="I25" s="58">
        <f>3.81*F25/80</f>
        <v>4.2862499999999999</v>
      </c>
      <c r="J25" s="58">
        <f>G25*4+H25*9+I25*4</f>
        <v>293.23124999999999</v>
      </c>
      <c r="K25" s="41">
        <v>268</v>
      </c>
      <c r="L25" s="40">
        <v>36.880000000000003</v>
      </c>
    </row>
    <row r="26" spans="1:12" ht="15" x14ac:dyDescent="0.25">
      <c r="A26" s="14"/>
      <c r="B26" s="15"/>
      <c r="C26" s="11"/>
      <c r="D26" s="6" t="s">
        <v>21</v>
      </c>
      <c r="E26" s="42" t="s">
        <v>53</v>
      </c>
      <c r="F26" s="53">
        <v>150</v>
      </c>
      <c r="G26" s="54">
        <v>3.7</v>
      </c>
      <c r="H26" s="54">
        <v>5.37</v>
      </c>
      <c r="I26" s="54">
        <v>36.68</v>
      </c>
      <c r="J26" s="54">
        <f>G26*4+H26*9+I26*4</f>
        <v>209.85</v>
      </c>
      <c r="K26" s="44">
        <v>304</v>
      </c>
      <c r="L26" s="43">
        <v>13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53">
        <v>200</v>
      </c>
      <c r="G27" s="54">
        <v>3.17</v>
      </c>
      <c r="H27" s="54">
        <v>2.68</v>
      </c>
      <c r="I27" s="54">
        <v>15.95</v>
      </c>
      <c r="J27" s="54">
        <f>G27*4+H27*9+I27*4</f>
        <v>100.6</v>
      </c>
      <c r="K27" s="44">
        <v>379</v>
      </c>
      <c r="L27" s="43">
        <v>8.5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53">
        <v>40</v>
      </c>
      <c r="G28" s="54">
        <f>1.52*F28/30</f>
        <v>2.0266666666666664</v>
      </c>
      <c r="H28" s="55">
        <f>0.16*F28/30</f>
        <v>0.21333333333333335</v>
      </c>
      <c r="I28" s="55">
        <f>9.84*F28/30</f>
        <v>13.120000000000001</v>
      </c>
      <c r="J28" s="55">
        <f>G28*4+H28*9+I28*4</f>
        <v>62.506666666666668</v>
      </c>
      <c r="K28" s="44" t="s">
        <v>43</v>
      </c>
      <c r="L28" s="43">
        <v>2.62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86</v>
      </c>
      <c r="F30" s="43">
        <v>40</v>
      </c>
      <c r="G30" s="43">
        <v>0.33</v>
      </c>
      <c r="H30" s="43">
        <v>0.04</v>
      </c>
      <c r="I30" s="43">
        <v>1.1299999999999999</v>
      </c>
      <c r="J30" s="43">
        <v>6.23</v>
      </c>
      <c r="K30" s="44">
        <v>71</v>
      </c>
      <c r="L30" s="43">
        <v>4.8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>SUM(G25:G31)</f>
        <v>25.876666666666662</v>
      </c>
      <c r="H32" s="19">
        <f>SUM(H25:H31)</f>
        <v>31.579583333333336</v>
      </c>
      <c r="I32" s="19">
        <f>SUM(I25:I31)</f>
        <v>71.166250000000005</v>
      </c>
      <c r="J32" s="19">
        <f>SUM(J25:J31)</f>
        <v>672.41791666666666</v>
      </c>
      <c r="K32" s="25"/>
      <c r="L32" s="19">
        <f>SUM(L25:L31)</f>
        <v>65.8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53">
        <v>60</v>
      </c>
      <c r="G33" s="54">
        <v>0.86</v>
      </c>
      <c r="H33" s="54">
        <v>3.05</v>
      </c>
      <c r="I33" s="54">
        <v>5.13</v>
      </c>
      <c r="J33" s="54">
        <f t="shared" ref="J33:J37" si="1">G33*4+H33*9+I33*4</f>
        <v>51.41</v>
      </c>
      <c r="K33" s="44">
        <v>52</v>
      </c>
      <c r="L33" s="43">
        <v>2.36</v>
      </c>
    </row>
    <row r="34" spans="1:12" ht="25.5" x14ac:dyDescent="0.25">
      <c r="A34" s="14"/>
      <c r="B34" s="15"/>
      <c r="C34" s="11"/>
      <c r="D34" s="7" t="s">
        <v>27</v>
      </c>
      <c r="E34" s="42" t="s">
        <v>56</v>
      </c>
      <c r="F34" s="59">
        <v>210</v>
      </c>
      <c r="G34" s="54">
        <v>6.9</v>
      </c>
      <c r="H34" s="55">
        <v>6.95</v>
      </c>
      <c r="I34" s="55">
        <v>18.760000000000002</v>
      </c>
      <c r="J34" s="55">
        <f t="shared" si="1"/>
        <v>165.19</v>
      </c>
      <c r="K34" s="44">
        <v>113</v>
      </c>
      <c r="L34" s="43">
        <v>25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53">
        <v>90</v>
      </c>
      <c r="G35" s="54">
        <f>20.2*F35/100</f>
        <v>18.18</v>
      </c>
      <c r="H35" s="54">
        <f>12.07*F35/100</f>
        <v>10.863</v>
      </c>
      <c r="I35" s="54">
        <f>2.08*F35/100</f>
        <v>1.8720000000000001</v>
      </c>
      <c r="J35" s="54">
        <f t="shared" si="1"/>
        <v>177.97499999999999</v>
      </c>
      <c r="K35" s="44">
        <v>232</v>
      </c>
      <c r="L35" s="43">
        <v>30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53">
        <v>150</v>
      </c>
      <c r="G36" s="54">
        <f>F36*3.29/150</f>
        <v>3.29</v>
      </c>
      <c r="H36" s="54">
        <f>F36*7.06/150</f>
        <v>7.06</v>
      </c>
      <c r="I36" s="54">
        <f>F36*22.21/150</f>
        <v>22.21</v>
      </c>
      <c r="J36" s="54">
        <f t="shared" si="1"/>
        <v>165.54000000000002</v>
      </c>
      <c r="K36" s="44">
        <v>312</v>
      </c>
      <c r="L36" s="43">
        <v>10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53">
        <v>200</v>
      </c>
      <c r="G37" s="54">
        <v>0.22</v>
      </c>
      <c r="H37" s="59"/>
      <c r="I37" s="54">
        <v>24.42</v>
      </c>
      <c r="J37" s="54">
        <f t="shared" si="1"/>
        <v>98.56</v>
      </c>
      <c r="K37" s="44">
        <v>349</v>
      </c>
      <c r="L37" s="43">
        <v>2.59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53">
        <v>40</v>
      </c>
      <c r="G38" s="54">
        <f>1.52*F38/30</f>
        <v>2.0266666666666664</v>
      </c>
      <c r="H38" s="55">
        <f>0.16*F38/30</f>
        <v>0.21333333333333335</v>
      </c>
      <c r="I38" s="55">
        <f>9.84*F38/30</f>
        <v>13.120000000000001</v>
      </c>
      <c r="J38" s="55">
        <f>G38*4+H38*9+I38*4</f>
        <v>62.506666666666668</v>
      </c>
      <c r="K38" s="44" t="s">
        <v>43</v>
      </c>
      <c r="L38" s="43">
        <v>2.62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53">
        <v>40</v>
      </c>
      <c r="G39" s="54">
        <v>2.64</v>
      </c>
      <c r="H39" s="55">
        <v>0.48</v>
      </c>
      <c r="I39" s="55">
        <v>13.68</v>
      </c>
      <c r="J39" s="55">
        <v>69.599999999999994</v>
      </c>
      <c r="K39" s="44" t="s">
        <v>43</v>
      </c>
      <c r="L39" s="43">
        <v>1.43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>SUM(G33:G41)</f>
        <v>34.116666666666667</v>
      </c>
      <c r="H42" s="19">
        <f>SUM(H33:H41)</f>
        <v>28.616333333333333</v>
      </c>
      <c r="I42" s="19">
        <f>SUM(I33:I41)</f>
        <v>99.192000000000007</v>
      </c>
      <c r="J42" s="19">
        <f>SUM(J33:J41)</f>
        <v>790.78166666666664</v>
      </c>
      <c r="K42" s="25"/>
      <c r="L42" s="19">
        <f>SUM(L33:L41)</f>
        <v>74.000000000000014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1310</v>
      </c>
      <c r="G43" s="32">
        <f>G32+G42</f>
        <v>59.993333333333325</v>
      </c>
      <c r="H43" s="32">
        <f>H32+H42</f>
        <v>60.195916666666669</v>
      </c>
      <c r="I43" s="32">
        <f>I32+I42</f>
        <v>170.35825</v>
      </c>
      <c r="J43" s="32">
        <f>J32+J42</f>
        <v>1463.1995833333333</v>
      </c>
      <c r="K43" s="32"/>
      <c r="L43" s="32">
        <f>L32+L42</f>
        <v>139.80000000000001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53">
        <v>200</v>
      </c>
      <c r="G44" s="54">
        <f>14.92*F44/170</f>
        <v>17.55294117647059</v>
      </c>
      <c r="H44" s="54">
        <f>14.38*F44/170</f>
        <v>16.91764705882353</v>
      </c>
      <c r="I44" s="54">
        <f>31.51*F44/170</f>
        <v>37.070588235294117</v>
      </c>
      <c r="J44" s="54">
        <f>G44*4+H44*9+I44*4</f>
        <v>370.75294117647059</v>
      </c>
      <c r="K44" s="41">
        <v>222</v>
      </c>
      <c r="L44" s="40">
        <v>47.15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53">
        <v>200</v>
      </c>
      <c r="G46" s="54">
        <v>0.2</v>
      </c>
      <c r="H46" s="54">
        <v>0.05</v>
      </c>
      <c r="I46" s="54">
        <v>15.01</v>
      </c>
      <c r="J46" s="54">
        <f>G46*4+H46*9+I46*4</f>
        <v>61.29</v>
      </c>
      <c r="K46" s="44">
        <v>376</v>
      </c>
      <c r="L46" s="43">
        <v>2.0299999999999998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53">
        <v>40</v>
      </c>
      <c r="G47" s="54">
        <f>1.52*F47/30</f>
        <v>2.0266666666666664</v>
      </c>
      <c r="H47" s="55">
        <f>0.16*F47/30</f>
        <v>0.21333333333333335</v>
      </c>
      <c r="I47" s="55">
        <f>9.84*F47/30</f>
        <v>13.120000000000001</v>
      </c>
      <c r="J47" s="55">
        <f>G47*4+H47*9+I47*4</f>
        <v>62.506666666666668</v>
      </c>
      <c r="K47" s="44" t="s">
        <v>43</v>
      </c>
      <c r="L47" s="43">
        <v>2.62</v>
      </c>
    </row>
    <row r="48" spans="1:12" ht="15" x14ac:dyDescent="0.25">
      <c r="A48" s="23"/>
      <c r="B48" s="15"/>
      <c r="C48" s="11"/>
      <c r="D48" s="7" t="s">
        <v>26</v>
      </c>
      <c r="E48" s="42" t="s">
        <v>62</v>
      </c>
      <c r="F48" s="53">
        <v>60</v>
      </c>
      <c r="G48" s="54">
        <f>1.06*F48/100</f>
        <v>0.63600000000000001</v>
      </c>
      <c r="H48" s="54">
        <f>0.17*F48/100</f>
        <v>0.10200000000000001</v>
      </c>
      <c r="I48" s="54">
        <f>8.52*F48/100</f>
        <v>5.1120000000000001</v>
      </c>
      <c r="J48" s="56">
        <f>G48*4+H48*9+I48*4</f>
        <v>23.91</v>
      </c>
      <c r="K48" s="44">
        <v>59</v>
      </c>
      <c r="L48" s="43">
        <v>4.7</v>
      </c>
    </row>
    <row r="49" spans="1:12" ht="15" x14ac:dyDescent="0.25">
      <c r="A49" s="23"/>
      <c r="B49" s="15"/>
      <c r="C49" s="11"/>
      <c r="D49" s="6"/>
      <c r="E49" s="42" t="s">
        <v>94</v>
      </c>
      <c r="F49" s="43">
        <v>20</v>
      </c>
      <c r="G49" s="43">
        <v>0.1</v>
      </c>
      <c r="H49" s="43">
        <v>0</v>
      </c>
      <c r="I49" s="43">
        <v>14.3</v>
      </c>
      <c r="J49" s="43">
        <v>57.6</v>
      </c>
      <c r="K49" s="44"/>
      <c r="L49" s="43">
        <v>9.3000000000000007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>SUM(G44:G50)</f>
        <v>20.515607843137257</v>
      </c>
      <c r="H51" s="19">
        <f>SUM(H44:H50)</f>
        <v>17.282980392156865</v>
      </c>
      <c r="I51" s="19">
        <f>SUM(I44:I50)</f>
        <v>84.612588235294112</v>
      </c>
      <c r="J51" s="19">
        <f>SUM(J44:J50)</f>
        <v>576.05960784313731</v>
      </c>
      <c r="K51" s="25"/>
      <c r="L51" s="19">
        <f>SUM(L44:L50)</f>
        <v>65.8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97</v>
      </c>
      <c r="F52" s="53">
        <v>60</v>
      </c>
      <c r="G52" s="70">
        <v>0.94</v>
      </c>
      <c r="H52" s="70">
        <v>2.1059999999999999</v>
      </c>
      <c r="I52" s="71">
        <v>2.661</v>
      </c>
      <c r="J52" s="54">
        <f>G52*4+H52*9+I52*4</f>
        <v>33.357999999999997</v>
      </c>
      <c r="K52" s="44">
        <v>29</v>
      </c>
      <c r="L52" s="43">
        <v>10</v>
      </c>
    </row>
    <row r="53" spans="1:12" ht="25.5" x14ac:dyDescent="0.25">
      <c r="A53" s="23"/>
      <c r="B53" s="15"/>
      <c r="C53" s="11"/>
      <c r="D53" s="7" t="s">
        <v>27</v>
      </c>
      <c r="E53" s="42" t="s">
        <v>63</v>
      </c>
      <c r="F53" s="59">
        <v>210</v>
      </c>
      <c r="G53" s="54">
        <v>1.89</v>
      </c>
      <c r="H53" s="54">
        <v>2.4300000000000002</v>
      </c>
      <c r="I53" s="54">
        <v>9.34</v>
      </c>
      <c r="J53" s="54">
        <f>G53*4+H53*9+I53*4</f>
        <v>66.789999999999992</v>
      </c>
      <c r="K53" s="44">
        <v>82</v>
      </c>
      <c r="L53" s="43">
        <v>13</v>
      </c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53">
        <v>240</v>
      </c>
      <c r="G54" s="54">
        <f>F54*18.63/200</f>
        <v>22.355999999999998</v>
      </c>
      <c r="H54" s="54">
        <f>F54*21.78/200</f>
        <v>26.136000000000003</v>
      </c>
      <c r="I54" s="54">
        <f>F54*39.36/200</f>
        <v>47.231999999999999</v>
      </c>
      <c r="J54" s="54">
        <f>G54*4+H54*9+I54*4</f>
        <v>513.57600000000002</v>
      </c>
      <c r="K54" s="44">
        <v>291</v>
      </c>
      <c r="L54" s="43">
        <v>37.950000000000003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53">
        <v>200</v>
      </c>
      <c r="G56" s="54">
        <v>0.16</v>
      </c>
      <c r="H56" s="59">
        <v>0.16</v>
      </c>
      <c r="I56" s="56">
        <v>27.87</v>
      </c>
      <c r="J56" s="54">
        <f>G56*4+H56*9+I56*4</f>
        <v>113.56</v>
      </c>
      <c r="K56" s="44">
        <v>342</v>
      </c>
      <c r="L56" s="43">
        <v>9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53">
        <v>40</v>
      </c>
      <c r="G57" s="54">
        <f>1.52*F57/30</f>
        <v>2.0266666666666664</v>
      </c>
      <c r="H57" s="55">
        <f>0.16*F57/30</f>
        <v>0.21333333333333335</v>
      </c>
      <c r="I57" s="55">
        <f>9.84*F57/30</f>
        <v>13.120000000000001</v>
      </c>
      <c r="J57" s="55">
        <f>G57*4+H57*9+I57*4</f>
        <v>62.506666666666668</v>
      </c>
      <c r="K57" s="44" t="s">
        <v>43</v>
      </c>
      <c r="L57" s="43">
        <v>2.62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53">
        <v>40</v>
      </c>
      <c r="G58" s="54">
        <v>2.64</v>
      </c>
      <c r="H58" s="55">
        <v>0.48</v>
      </c>
      <c r="I58" s="55">
        <v>13.68</v>
      </c>
      <c r="J58" s="55">
        <v>69.599999999999994</v>
      </c>
      <c r="K58" s="44" t="s">
        <v>43</v>
      </c>
      <c r="L58" s="43">
        <v>1.43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>SUM(G52:G60)</f>
        <v>30.012666666666668</v>
      </c>
      <c r="H61" s="19">
        <f>SUM(H52:H60)</f>
        <v>31.525333333333339</v>
      </c>
      <c r="I61" s="19">
        <f>SUM(I52:I60)</f>
        <v>113.90299999999999</v>
      </c>
      <c r="J61" s="19">
        <f>SUM(J52:J60)</f>
        <v>859.39066666666679</v>
      </c>
      <c r="K61" s="25"/>
      <c r="L61" s="19">
        <f>SUM(L52:L60)</f>
        <v>74.000000000000014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1310</v>
      </c>
      <c r="G62" s="32">
        <f>G51+G61</f>
        <v>50.528274509803921</v>
      </c>
      <c r="H62" s="32">
        <f>H51+H61</f>
        <v>48.808313725490208</v>
      </c>
      <c r="I62" s="32">
        <f>I51+I61</f>
        <v>198.5155882352941</v>
      </c>
      <c r="J62" s="32">
        <f>J51+J61</f>
        <v>1435.4502745098041</v>
      </c>
      <c r="K62" s="32"/>
      <c r="L62" s="32">
        <f>L51+L61</f>
        <v>139.80000000000001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98</v>
      </c>
      <c r="F63" s="53">
        <v>90</v>
      </c>
      <c r="G63" s="54">
        <v>8.74</v>
      </c>
      <c r="H63" s="54">
        <v>8.31</v>
      </c>
      <c r="I63" s="54">
        <v>10.71</v>
      </c>
      <c r="J63" s="54">
        <f>G63*4+H63*9+I63*4</f>
        <v>152.59</v>
      </c>
      <c r="K63" s="41">
        <v>297</v>
      </c>
      <c r="L63" s="40">
        <v>20.87</v>
      </c>
    </row>
    <row r="64" spans="1:12" ht="15" x14ac:dyDescent="0.25">
      <c r="A64" s="23"/>
      <c r="B64" s="15"/>
      <c r="C64" s="11"/>
      <c r="D64" s="6" t="s">
        <v>21</v>
      </c>
      <c r="E64" s="42" t="s">
        <v>49</v>
      </c>
      <c r="F64" s="53">
        <v>150</v>
      </c>
      <c r="G64" s="54">
        <f>5.7*F64/150</f>
        <v>5.7</v>
      </c>
      <c r="H64" s="54">
        <f>3.43*F64/150</f>
        <v>3.43</v>
      </c>
      <c r="I64" s="54">
        <f>36.45*F64/150</f>
        <v>36.450000000000003</v>
      </c>
      <c r="J64" s="54">
        <f>G64*4+H64*9+I64*4</f>
        <v>199.47000000000003</v>
      </c>
      <c r="K64" s="44">
        <v>203</v>
      </c>
      <c r="L64" s="43">
        <v>7.44</v>
      </c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53">
        <v>204</v>
      </c>
      <c r="G65" s="54">
        <v>0.26</v>
      </c>
      <c r="H65" s="54">
        <v>0.06</v>
      </c>
      <c r="I65" s="54">
        <v>15.22</v>
      </c>
      <c r="J65" s="54">
        <f>G65*4+H65*9+I65*4</f>
        <v>62.46</v>
      </c>
      <c r="K65" s="44">
        <v>377</v>
      </c>
      <c r="L65" s="43">
        <v>8.8699999999999992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53">
        <v>40</v>
      </c>
      <c r="G66" s="54">
        <f>1.52*F66/30</f>
        <v>2.0266666666666664</v>
      </c>
      <c r="H66" s="55">
        <f>0.16*F66/30</f>
        <v>0.21333333333333335</v>
      </c>
      <c r="I66" s="55">
        <f>9.84*F66/30</f>
        <v>13.120000000000001</v>
      </c>
      <c r="J66" s="55">
        <f>G66*4+H66*9+I66*4</f>
        <v>62.506666666666668</v>
      </c>
      <c r="K66" s="44" t="s">
        <v>43</v>
      </c>
      <c r="L66" s="43">
        <v>2.62</v>
      </c>
    </row>
    <row r="67" spans="1:12" ht="15" x14ac:dyDescent="0.25">
      <c r="A67" s="23"/>
      <c r="B67" s="15"/>
      <c r="C67" s="11"/>
      <c r="D67" s="7" t="s">
        <v>24</v>
      </c>
      <c r="E67" s="42" t="s">
        <v>99</v>
      </c>
      <c r="F67" s="53">
        <v>100</v>
      </c>
      <c r="G67" s="54">
        <f>F67*0.2/50</f>
        <v>0.4</v>
      </c>
      <c r="H67" s="59">
        <v>0.4</v>
      </c>
      <c r="I67" s="56">
        <v>9.8000000000000007</v>
      </c>
      <c r="J67" s="56">
        <f>G67*4+H67*9+I67*4</f>
        <v>44.400000000000006</v>
      </c>
      <c r="K67" s="44">
        <v>338</v>
      </c>
      <c r="L67" s="43">
        <v>26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584</v>
      </c>
      <c r="G70" s="19">
        <f>SUM(G63:G69)</f>
        <v>17.126666666666665</v>
      </c>
      <c r="H70" s="19">
        <f>SUM(H63:H69)</f>
        <v>12.413333333333334</v>
      </c>
      <c r="I70" s="19">
        <f>SUM(I63:I69)</f>
        <v>85.3</v>
      </c>
      <c r="J70" s="19">
        <f>SUM(J63:J69)</f>
        <v>521.42666666666673</v>
      </c>
      <c r="K70" s="25"/>
      <c r="L70" s="19">
        <f>SUM(L63:L69)</f>
        <v>65.8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53">
        <v>60</v>
      </c>
      <c r="G71" s="54">
        <v>0.9</v>
      </c>
      <c r="H71" s="56">
        <v>3.1</v>
      </c>
      <c r="I71" s="56">
        <v>5.6</v>
      </c>
      <c r="J71" s="54">
        <f>G71*4+H71*9+I71*4</f>
        <v>53.900000000000006</v>
      </c>
      <c r="K71" s="44">
        <v>56</v>
      </c>
      <c r="L71" s="43">
        <v>1.038</v>
      </c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53">
        <v>200</v>
      </c>
      <c r="G72" s="54">
        <f>2.6*F72/250</f>
        <v>2.08</v>
      </c>
      <c r="H72" s="56">
        <f>6.13*F72/250</f>
        <v>4.9039999999999999</v>
      </c>
      <c r="I72" s="56">
        <f>17.03*F72/250</f>
        <v>13.624000000000001</v>
      </c>
      <c r="J72" s="54">
        <f t="shared" ref="J72:J73" si="2">G72*4+H72*9+I72*4</f>
        <v>106.952</v>
      </c>
      <c r="K72" s="44">
        <v>96</v>
      </c>
      <c r="L72" s="43">
        <v>4.46</v>
      </c>
    </row>
    <row r="73" spans="1:12" ht="15" x14ac:dyDescent="0.25">
      <c r="A73" s="23"/>
      <c r="B73" s="15"/>
      <c r="C73" s="11"/>
      <c r="D73" s="7" t="s">
        <v>28</v>
      </c>
      <c r="E73" s="42" t="s">
        <v>100</v>
      </c>
      <c r="F73" s="53">
        <v>240</v>
      </c>
      <c r="G73" s="54">
        <v>15.5</v>
      </c>
      <c r="H73" s="56">
        <v>35.909999999999997</v>
      </c>
      <c r="I73" s="56">
        <v>19.5</v>
      </c>
      <c r="J73" s="54">
        <f t="shared" si="2"/>
        <v>463.18999999999994</v>
      </c>
      <c r="K73" s="44">
        <v>263</v>
      </c>
      <c r="L73" s="43">
        <v>45.451999999999998</v>
      </c>
    </row>
    <row r="74" spans="1:12" ht="15" x14ac:dyDescent="0.25">
      <c r="A74" s="23"/>
      <c r="B74" s="15"/>
      <c r="C74" s="11"/>
      <c r="D74" s="7" t="s">
        <v>29</v>
      </c>
      <c r="E74" s="42"/>
      <c r="F74" s="53"/>
      <c r="G74" s="54"/>
      <c r="H74" s="54"/>
      <c r="I74" s="54"/>
      <c r="J74" s="54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53">
        <v>200</v>
      </c>
      <c r="G75" s="54">
        <v>1</v>
      </c>
      <c r="H75" s="54">
        <v>0.2</v>
      </c>
      <c r="I75" s="54">
        <v>20.2</v>
      </c>
      <c r="J75" s="54">
        <f>G75*4+H75*9+I75*4</f>
        <v>86.6</v>
      </c>
      <c r="K75" s="44">
        <v>389</v>
      </c>
      <c r="L75" s="43">
        <v>19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53">
        <v>40</v>
      </c>
      <c r="G76" s="54">
        <f>1.52*F76/30</f>
        <v>2.0266666666666664</v>
      </c>
      <c r="H76" s="55">
        <f>0.16*F76/30</f>
        <v>0.21333333333333335</v>
      </c>
      <c r="I76" s="55">
        <f>9.84*F76/30</f>
        <v>13.120000000000001</v>
      </c>
      <c r="J76" s="55">
        <f>G76*4+H76*9+I76*4</f>
        <v>62.506666666666668</v>
      </c>
      <c r="K76" s="44" t="s">
        <v>43</v>
      </c>
      <c r="L76" s="43">
        <v>2.62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53">
        <v>40</v>
      </c>
      <c r="G77" s="54">
        <v>2.64</v>
      </c>
      <c r="H77" s="55">
        <v>0.48</v>
      </c>
      <c r="I77" s="55">
        <v>13.68</v>
      </c>
      <c r="J77" s="55">
        <v>69.599999999999994</v>
      </c>
      <c r="K77" s="44" t="s">
        <v>43</v>
      </c>
      <c r="L77" s="43">
        <v>1.43</v>
      </c>
    </row>
    <row r="78" spans="1:12" ht="15" x14ac:dyDescent="0.25">
      <c r="A78" s="23"/>
      <c r="B78" s="15"/>
      <c r="C78" s="11"/>
      <c r="D78" s="6"/>
      <c r="E78" s="42"/>
      <c r="F78" s="61"/>
      <c r="G78" s="62"/>
      <c r="H78" s="63"/>
      <c r="I78" s="62"/>
      <c r="J78" s="62"/>
      <c r="K78" s="44"/>
      <c r="L78" s="43"/>
    </row>
    <row r="79" spans="1:12" ht="15" x14ac:dyDescent="0.25">
      <c r="A79" s="23"/>
      <c r="B79" s="15"/>
      <c r="C79" s="11"/>
      <c r="D79" s="6"/>
      <c r="E79" s="42"/>
      <c r="F79" s="53"/>
      <c r="G79" s="54"/>
      <c r="H79" s="54"/>
      <c r="I79" s="54"/>
      <c r="J79" s="54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>SUM(G71:G79)</f>
        <v>24.146666666666668</v>
      </c>
      <c r="H80" s="19">
        <f>SUM(H71:H79)</f>
        <v>44.807333333333325</v>
      </c>
      <c r="I80" s="19">
        <f>SUM(I71:I79)</f>
        <v>85.724000000000018</v>
      </c>
      <c r="J80" s="19">
        <f>SUM(J71:J79)</f>
        <v>842.74866666666662</v>
      </c>
      <c r="K80" s="25"/>
      <c r="L80" s="19">
        <f>SUM(L71:L79)</f>
        <v>74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1364</v>
      </c>
      <c r="G81" s="32">
        <f>G70+G80</f>
        <v>41.273333333333333</v>
      </c>
      <c r="H81" s="32">
        <f>H70+H80</f>
        <v>57.220666666666659</v>
      </c>
      <c r="I81" s="32">
        <f>I70+I80</f>
        <v>171.024</v>
      </c>
      <c r="J81" s="32">
        <f>J70+J80</f>
        <v>1364.1753333333334</v>
      </c>
      <c r="K81" s="32"/>
      <c r="L81" s="32">
        <f>L70+L80</f>
        <v>139.80000000000001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53">
        <v>200</v>
      </c>
      <c r="G82" s="54">
        <v>16.29</v>
      </c>
      <c r="H82" s="54">
        <v>18.989999999999998</v>
      </c>
      <c r="I82" s="54">
        <v>5.04</v>
      </c>
      <c r="J82" s="40">
        <v>256.23</v>
      </c>
      <c r="K82" s="41">
        <v>210</v>
      </c>
      <c r="L82" s="40">
        <v>28.27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53">
        <v>200</v>
      </c>
      <c r="G84" s="54">
        <v>0.2</v>
      </c>
      <c r="H84" s="54">
        <v>0.05</v>
      </c>
      <c r="I84" s="54">
        <v>15.01</v>
      </c>
      <c r="J84" s="54">
        <f t="shared" ref="J84" si="3">G84*4+H84*9+I84*4</f>
        <v>61.29</v>
      </c>
      <c r="K84" s="44">
        <v>376</v>
      </c>
      <c r="L84" s="43">
        <v>2.0299999999999998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53">
        <v>40</v>
      </c>
      <c r="G85" s="54">
        <f>1.52*F85/30</f>
        <v>2.0266666666666664</v>
      </c>
      <c r="H85" s="55">
        <f>0.16*F85/30</f>
        <v>0.21333333333333335</v>
      </c>
      <c r="I85" s="55">
        <f>9.84*F85/30</f>
        <v>13.120000000000001</v>
      </c>
      <c r="J85" s="55">
        <f>G85*4+H85*9+I85*4</f>
        <v>62.506666666666668</v>
      </c>
      <c r="K85" s="44" t="s">
        <v>43</v>
      </c>
      <c r="L85" s="43">
        <v>2.62</v>
      </c>
    </row>
    <row r="86" spans="1:12" ht="15" x14ac:dyDescent="0.25">
      <c r="A86" s="23"/>
      <c r="B86" s="15"/>
      <c r="C86" s="11"/>
      <c r="D86" s="7" t="s">
        <v>24</v>
      </c>
      <c r="E86" s="42" t="s">
        <v>101</v>
      </c>
      <c r="F86" s="53">
        <v>100</v>
      </c>
      <c r="G86" s="54">
        <v>1.5</v>
      </c>
      <c r="H86" s="59">
        <v>0.5</v>
      </c>
      <c r="I86" s="56">
        <v>21</v>
      </c>
      <c r="J86" s="56">
        <f t="shared" ref="J86" si="4">G86*4+H86*9+I86*4</f>
        <v>94.5</v>
      </c>
      <c r="K86" s="44">
        <v>338</v>
      </c>
      <c r="L86" s="43">
        <v>13.5</v>
      </c>
    </row>
    <row r="87" spans="1:12" ht="15" x14ac:dyDescent="0.25">
      <c r="A87" s="23"/>
      <c r="B87" s="15"/>
      <c r="C87" s="11"/>
      <c r="D87" s="6"/>
      <c r="E87" s="42" t="s">
        <v>70</v>
      </c>
      <c r="F87" s="53">
        <v>20</v>
      </c>
      <c r="G87" s="54">
        <v>4.5999999999999996</v>
      </c>
      <c r="H87" s="59">
        <v>0.24</v>
      </c>
      <c r="I87" s="54">
        <v>10.66</v>
      </c>
      <c r="J87" s="54">
        <f t="shared" ref="J87:J88" si="5">G87*4+H87*9+I87*4</f>
        <v>63.2</v>
      </c>
      <c r="K87" s="44">
        <v>131</v>
      </c>
      <c r="L87" s="43">
        <v>5.25</v>
      </c>
    </row>
    <row r="88" spans="1:12" ht="15" x14ac:dyDescent="0.25">
      <c r="A88" s="23"/>
      <c r="B88" s="15"/>
      <c r="C88" s="11"/>
      <c r="D88" s="6"/>
      <c r="E88" s="42" t="s">
        <v>45</v>
      </c>
      <c r="F88" s="53">
        <v>20</v>
      </c>
      <c r="G88" s="54">
        <f>2.32*F88/10</f>
        <v>4.6399999999999997</v>
      </c>
      <c r="H88" s="54">
        <f>3.4*F88/10</f>
        <v>6.8</v>
      </c>
      <c r="I88" s="54">
        <f>0.01*F88/10</f>
        <v>0.02</v>
      </c>
      <c r="J88" s="54">
        <f t="shared" si="5"/>
        <v>79.839999999999989</v>
      </c>
      <c r="K88" s="44">
        <v>15</v>
      </c>
      <c r="L88" s="43">
        <v>14.13</v>
      </c>
    </row>
    <row r="89" spans="1:12" ht="15" x14ac:dyDescent="0.25">
      <c r="A89" s="24"/>
      <c r="B89" s="17"/>
      <c r="C89" s="8"/>
      <c r="D89" s="18" t="s">
        <v>33</v>
      </c>
      <c r="E89" s="9"/>
      <c r="F89" s="64">
        <f>SUM(F82:F88)</f>
        <v>580</v>
      </c>
      <c r="G89" s="19">
        <f>SUM(G82:G88)</f>
        <v>29.256666666666668</v>
      </c>
      <c r="H89" s="19">
        <f>SUM(H82:H88)</f>
        <v>26.793333333333333</v>
      </c>
      <c r="I89" s="19">
        <f>SUM(I82:I88)</f>
        <v>64.849999999999994</v>
      </c>
      <c r="J89" s="19">
        <f>SUM(J82:J88)</f>
        <v>617.56666666666672</v>
      </c>
      <c r="K89" s="25"/>
      <c r="L89" s="19">
        <f>SUM(L82:L88)</f>
        <v>65.8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55</v>
      </c>
      <c r="F90" s="53">
        <v>60</v>
      </c>
      <c r="G90" s="54">
        <v>0.86</v>
      </c>
      <c r="H90" s="54">
        <v>3.05</v>
      </c>
      <c r="I90" s="54">
        <v>5.13</v>
      </c>
      <c r="J90" s="54">
        <f t="shared" ref="J90:J94" si="6">G90*4+H90*9+I90*4</f>
        <v>51.41</v>
      </c>
      <c r="K90" s="44">
        <v>52</v>
      </c>
      <c r="L90" s="43">
        <v>2.2999999999999998</v>
      </c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59">
        <v>230</v>
      </c>
      <c r="G91" s="54">
        <v>12.6</v>
      </c>
      <c r="H91" s="54">
        <v>13.3</v>
      </c>
      <c r="I91" s="54">
        <v>27.9</v>
      </c>
      <c r="J91" s="54">
        <f t="shared" si="6"/>
        <v>281.7</v>
      </c>
      <c r="K91" s="44">
        <v>106</v>
      </c>
      <c r="L91" s="43">
        <v>26</v>
      </c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59">
        <v>90</v>
      </c>
      <c r="G92" s="54">
        <f>15.24*F92/100</f>
        <v>13.715999999999999</v>
      </c>
      <c r="H92" s="56">
        <f>5.8*F92/100</f>
        <v>5.22</v>
      </c>
      <c r="I92" s="56">
        <f>10.16*F92/100</f>
        <v>9.1440000000000001</v>
      </c>
      <c r="J92" s="54">
        <f t="shared" si="6"/>
        <v>138.41999999999999</v>
      </c>
      <c r="K92" s="44">
        <v>295</v>
      </c>
      <c r="L92" s="43">
        <v>22.65</v>
      </c>
    </row>
    <row r="93" spans="1:12" ht="15" x14ac:dyDescent="0.25">
      <c r="A93" s="23"/>
      <c r="B93" s="15"/>
      <c r="C93" s="11"/>
      <c r="D93" s="7" t="s">
        <v>29</v>
      </c>
      <c r="E93" s="42" t="s">
        <v>73</v>
      </c>
      <c r="F93" s="53">
        <v>150</v>
      </c>
      <c r="G93" s="54">
        <f>2.77*F93/150</f>
        <v>2.77</v>
      </c>
      <c r="H93" s="54">
        <f>4.84*F93/150</f>
        <v>4.84</v>
      </c>
      <c r="I93" s="54">
        <f>10.78*F93/150</f>
        <v>10.78</v>
      </c>
      <c r="J93" s="54">
        <f t="shared" si="6"/>
        <v>97.759999999999991</v>
      </c>
      <c r="K93" s="44">
        <v>139</v>
      </c>
      <c r="L93" s="43">
        <v>8</v>
      </c>
    </row>
    <row r="94" spans="1:12" ht="15" x14ac:dyDescent="0.25">
      <c r="A94" s="23"/>
      <c r="B94" s="15"/>
      <c r="C94" s="11"/>
      <c r="D94" s="7" t="s">
        <v>30</v>
      </c>
      <c r="E94" s="42" t="s">
        <v>68</v>
      </c>
      <c r="F94" s="53">
        <v>200</v>
      </c>
      <c r="G94" s="54">
        <v>1</v>
      </c>
      <c r="H94" s="54">
        <v>0.2</v>
      </c>
      <c r="I94" s="54">
        <v>20.2</v>
      </c>
      <c r="J94" s="54">
        <f t="shared" si="6"/>
        <v>86.6</v>
      </c>
      <c r="K94" s="44">
        <v>389</v>
      </c>
      <c r="L94" s="43">
        <v>11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53">
        <v>40</v>
      </c>
      <c r="G95" s="54">
        <f>1.52*F95/30</f>
        <v>2.0266666666666664</v>
      </c>
      <c r="H95" s="55">
        <f>0.16*F95/30</f>
        <v>0.21333333333333335</v>
      </c>
      <c r="I95" s="55">
        <f>9.84*F95/30</f>
        <v>13.120000000000001</v>
      </c>
      <c r="J95" s="55">
        <f>G95*4+H95*9+I95*4</f>
        <v>62.506666666666668</v>
      </c>
      <c r="K95" s="44" t="s">
        <v>43</v>
      </c>
      <c r="L95" s="43">
        <v>2.62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53">
        <v>40</v>
      </c>
      <c r="G96" s="54">
        <v>2.64</v>
      </c>
      <c r="H96" s="55">
        <v>0.48</v>
      </c>
      <c r="I96" s="55">
        <v>13.68</v>
      </c>
      <c r="J96" s="55">
        <v>69.599999999999994</v>
      </c>
      <c r="K96" s="44" t="s">
        <v>43</v>
      </c>
      <c r="L96" s="43">
        <v>1.43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>SUM(G90:G98)</f>
        <v>35.612666666666662</v>
      </c>
      <c r="H99" s="19">
        <f>SUM(H90:H98)</f>
        <v>27.303333333333335</v>
      </c>
      <c r="I99" s="19">
        <f>SUM(I90:I98)</f>
        <v>99.954000000000008</v>
      </c>
      <c r="J99" s="19">
        <f>SUM(J90:J98)</f>
        <v>787.99666666666667</v>
      </c>
      <c r="K99" s="25"/>
      <c r="L99" s="19">
        <f>SUM(L90:L98)</f>
        <v>74.000000000000014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1390</v>
      </c>
      <c r="G100" s="32">
        <f>G89+G99</f>
        <v>64.86933333333333</v>
      </c>
      <c r="H100" s="32">
        <f>H89+H99</f>
        <v>54.096666666666664</v>
      </c>
      <c r="I100" s="32">
        <f>I89+I99</f>
        <v>164.804</v>
      </c>
      <c r="J100" s="32">
        <f>J89+J99</f>
        <v>1405.5633333333335</v>
      </c>
      <c r="K100" s="32"/>
      <c r="L100" s="32">
        <f>L89+L99</f>
        <v>139.80000000000001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53">
        <v>200</v>
      </c>
      <c r="G101" s="54">
        <v>7.3</v>
      </c>
      <c r="H101" s="56">
        <v>12.5</v>
      </c>
      <c r="I101" s="56">
        <v>54.3</v>
      </c>
      <c r="J101" s="56">
        <f>G101*4+H101*9+I101*4</f>
        <v>358.9</v>
      </c>
      <c r="K101" s="41">
        <v>173</v>
      </c>
      <c r="L101" s="40">
        <v>11.55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53">
        <v>200</v>
      </c>
      <c r="G103" s="54">
        <v>3.17</v>
      </c>
      <c r="H103" s="54">
        <v>2.68</v>
      </c>
      <c r="I103" s="54">
        <v>15.95</v>
      </c>
      <c r="J103" s="54">
        <f>G103*4+H103*9+I103*4</f>
        <v>100.6</v>
      </c>
      <c r="K103" s="44">
        <v>379</v>
      </c>
      <c r="L103" s="43">
        <v>10.53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53">
        <v>40</v>
      </c>
      <c r="G104" s="54">
        <f>1.52*F104/30</f>
        <v>2.0266666666666664</v>
      </c>
      <c r="H104" s="55">
        <f>0.16*F104/30</f>
        <v>0.21333333333333335</v>
      </c>
      <c r="I104" s="55">
        <f>9.84*F104/30</f>
        <v>13.120000000000001</v>
      </c>
      <c r="J104" s="55">
        <f>G104*4+H104*9+I104*4</f>
        <v>62.506666666666668</v>
      </c>
      <c r="K104" s="44" t="s">
        <v>43</v>
      </c>
      <c r="L104" s="43">
        <v>2.62</v>
      </c>
    </row>
    <row r="105" spans="1:12" ht="15" x14ac:dyDescent="0.25">
      <c r="A105" s="23"/>
      <c r="B105" s="15"/>
      <c r="C105" s="11"/>
      <c r="D105" s="7" t="s">
        <v>24</v>
      </c>
      <c r="E105" s="42" t="s">
        <v>99</v>
      </c>
      <c r="F105" s="53">
        <v>100</v>
      </c>
      <c r="G105" s="54">
        <v>0.4</v>
      </c>
      <c r="H105" s="59">
        <v>0.4</v>
      </c>
      <c r="I105" s="56">
        <v>9.8000000000000007</v>
      </c>
      <c r="J105" s="54">
        <f>G105*4+H105*9+I105*4</f>
        <v>44.400000000000006</v>
      </c>
      <c r="K105" s="44">
        <v>338</v>
      </c>
      <c r="L105" s="43">
        <v>26.97</v>
      </c>
    </row>
    <row r="106" spans="1:12" ht="15" x14ac:dyDescent="0.25">
      <c r="A106" s="23"/>
      <c r="B106" s="15"/>
      <c r="C106" s="11"/>
      <c r="D106" s="6"/>
      <c r="E106" s="42" t="s">
        <v>45</v>
      </c>
      <c r="F106" s="53">
        <v>20</v>
      </c>
      <c r="G106" s="54">
        <f>2.32*F106/10</f>
        <v>4.6399999999999997</v>
      </c>
      <c r="H106" s="54">
        <f>3.4*F106/10</f>
        <v>6.8</v>
      </c>
      <c r="I106" s="54">
        <f>0.01*F106/10</f>
        <v>0.02</v>
      </c>
      <c r="J106" s="54">
        <f t="shared" ref="J106" si="7">G106*4+H106*9+I106*4</f>
        <v>79.839999999999989</v>
      </c>
      <c r="K106" s="44">
        <v>15</v>
      </c>
      <c r="L106" s="43">
        <v>14.13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>SUM(G101:G107)</f>
        <v>17.536666666666665</v>
      </c>
      <c r="H108" s="19">
        <f>SUM(H101:H107)</f>
        <v>22.593333333333334</v>
      </c>
      <c r="I108" s="19">
        <f>SUM(I101:I107)</f>
        <v>93.19</v>
      </c>
      <c r="J108" s="19">
        <f>SUM(J101:J107)</f>
        <v>646.24666666666667</v>
      </c>
      <c r="K108" s="25"/>
      <c r="L108" s="19">
        <f>SUM(L101:L107)</f>
        <v>65.8</v>
      </c>
    </row>
    <row r="109" spans="1:12" ht="25.15" customHeight="1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102</v>
      </c>
      <c r="F109" s="53">
        <v>60</v>
      </c>
      <c r="G109" s="54">
        <v>0.94</v>
      </c>
      <c r="H109" s="54">
        <v>2.1059999999999999</v>
      </c>
      <c r="I109" s="54">
        <v>2.661</v>
      </c>
      <c r="J109" s="54">
        <f t="shared" ref="J109:J112" si="8">G109*4+H109*9+I109*4</f>
        <v>33.357999999999997</v>
      </c>
      <c r="K109" s="44">
        <v>29</v>
      </c>
      <c r="L109" s="43">
        <v>10</v>
      </c>
    </row>
    <row r="110" spans="1:12" ht="15" x14ac:dyDescent="0.25">
      <c r="A110" s="23"/>
      <c r="B110" s="15"/>
      <c r="C110" s="11"/>
      <c r="D110" s="7" t="s">
        <v>27</v>
      </c>
      <c r="E110" s="42" t="s">
        <v>76</v>
      </c>
      <c r="F110" s="59">
        <v>200</v>
      </c>
      <c r="G110" s="54">
        <v>1.77</v>
      </c>
      <c r="H110" s="54">
        <v>2.65</v>
      </c>
      <c r="I110" s="54">
        <v>12.74</v>
      </c>
      <c r="J110" s="54">
        <f t="shared" si="8"/>
        <v>81.89</v>
      </c>
      <c r="K110" s="44">
        <v>84</v>
      </c>
      <c r="L110" s="43">
        <v>15</v>
      </c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53">
        <v>90</v>
      </c>
      <c r="G111" s="54">
        <f>14.4*F111/100</f>
        <v>12.96</v>
      </c>
      <c r="H111" s="56">
        <f>14.718*F111/100</f>
        <v>13.246199999999998</v>
      </c>
      <c r="I111" s="56">
        <f>6.368*F111/100</f>
        <v>5.7312000000000003</v>
      </c>
      <c r="J111" s="54">
        <f t="shared" si="8"/>
        <v>193.98059999999998</v>
      </c>
      <c r="K111" s="44">
        <v>261</v>
      </c>
      <c r="L111" s="43">
        <v>29.6</v>
      </c>
    </row>
    <row r="112" spans="1:12" ht="15" x14ac:dyDescent="0.25">
      <c r="A112" s="23"/>
      <c r="B112" s="15"/>
      <c r="C112" s="11"/>
      <c r="D112" s="7" t="s">
        <v>29</v>
      </c>
      <c r="E112" s="42" t="s">
        <v>49</v>
      </c>
      <c r="F112" s="53">
        <v>150</v>
      </c>
      <c r="G112" s="54">
        <f>5.7*F112/150</f>
        <v>5.7</v>
      </c>
      <c r="H112" s="54">
        <f>3.43*F112/150</f>
        <v>3.43</v>
      </c>
      <c r="I112" s="54">
        <f>36.45*F112/150</f>
        <v>36.450000000000003</v>
      </c>
      <c r="J112" s="54">
        <f t="shared" si="8"/>
        <v>199.47000000000003</v>
      </c>
      <c r="K112" s="44">
        <v>203</v>
      </c>
      <c r="L112" s="43">
        <v>7.44</v>
      </c>
    </row>
    <row r="113" spans="1:12" ht="15" x14ac:dyDescent="0.25">
      <c r="A113" s="23"/>
      <c r="B113" s="15"/>
      <c r="C113" s="11"/>
      <c r="D113" s="7" t="s">
        <v>30</v>
      </c>
      <c r="E113" s="42" t="s">
        <v>78</v>
      </c>
      <c r="F113" s="53">
        <v>200</v>
      </c>
      <c r="G113" s="54">
        <v>0.22</v>
      </c>
      <c r="H113" s="59"/>
      <c r="I113" s="54">
        <v>19.43</v>
      </c>
      <c r="J113" s="54">
        <f>G113*4+H113*9+I113*4</f>
        <v>78.599999999999994</v>
      </c>
      <c r="K113" s="44">
        <v>348</v>
      </c>
      <c r="L113" s="43">
        <v>7.91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53">
        <v>40</v>
      </c>
      <c r="G114" s="54">
        <f>1.52*F114/30</f>
        <v>2.0266666666666664</v>
      </c>
      <c r="H114" s="55">
        <f>0.16*F114/30</f>
        <v>0.21333333333333335</v>
      </c>
      <c r="I114" s="55">
        <f>9.84*F114/30</f>
        <v>13.120000000000001</v>
      </c>
      <c r="J114" s="55">
        <f>G114*4+H114*9+I114*4</f>
        <v>62.506666666666668</v>
      </c>
      <c r="K114" s="44" t="s">
        <v>43</v>
      </c>
      <c r="L114" s="43">
        <v>2.62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53">
        <v>40</v>
      </c>
      <c r="G115" s="54">
        <v>2.64</v>
      </c>
      <c r="H115" s="55">
        <v>0.48</v>
      </c>
      <c r="I115" s="55">
        <v>13.68</v>
      </c>
      <c r="J115" s="55">
        <v>69.599999999999994</v>
      </c>
      <c r="K115" s="44" t="s">
        <v>43</v>
      </c>
      <c r="L115" s="43">
        <v>1.43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>SUM(G109:G117)</f>
        <v>26.256666666666668</v>
      </c>
      <c r="H118" s="19">
        <f>SUM(H109:H117)</f>
        <v>22.125533333333333</v>
      </c>
      <c r="I118" s="19">
        <f>SUM(I109:I117)</f>
        <v>103.81220000000002</v>
      </c>
      <c r="J118" s="19">
        <f>SUM(J109:J117)</f>
        <v>719.40526666666665</v>
      </c>
      <c r="K118" s="25"/>
      <c r="L118" s="19">
        <f>SUM(L109:L117)</f>
        <v>74.000000000000014</v>
      </c>
    </row>
    <row r="119" spans="1:12" ht="15.75" thickBot="1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1340</v>
      </c>
      <c r="G119" s="32">
        <f>G108+G118</f>
        <v>43.793333333333337</v>
      </c>
      <c r="H119" s="32">
        <f>H108+H118</f>
        <v>44.718866666666671</v>
      </c>
      <c r="I119" s="32">
        <f>I108+I118</f>
        <v>197.00220000000002</v>
      </c>
      <c r="J119" s="32">
        <f>J108+J118</f>
        <v>1365.6519333333333</v>
      </c>
      <c r="K119" s="32"/>
      <c r="L119" s="32">
        <f>L108+L118</f>
        <v>139.80000000000001</v>
      </c>
    </row>
    <row r="120" spans="1:12" ht="32.450000000000003" customHeight="1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103</v>
      </c>
      <c r="F120" s="53">
        <v>90</v>
      </c>
      <c r="G120" s="54">
        <v>8.08</v>
      </c>
      <c r="H120" s="54">
        <v>10.69</v>
      </c>
      <c r="I120" s="54">
        <v>9.33</v>
      </c>
      <c r="J120" s="54">
        <f t="shared" ref="J120" si="9">G120*4+H120*9+I120*4</f>
        <v>165.85</v>
      </c>
      <c r="K120" s="41">
        <v>237</v>
      </c>
      <c r="L120" s="40">
        <v>20.77</v>
      </c>
    </row>
    <row r="121" spans="1:12" ht="15" x14ac:dyDescent="0.25">
      <c r="A121" s="14"/>
      <c r="B121" s="15"/>
      <c r="C121" s="11"/>
      <c r="D121" s="6" t="s">
        <v>21</v>
      </c>
      <c r="E121" s="42" t="s">
        <v>79</v>
      </c>
      <c r="F121" s="53">
        <v>150</v>
      </c>
      <c r="G121" s="54">
        <v>3.45</v>
      </c>
      <c r="H121" s="56">
        <v>4.95</v>
      </c>
      <c r="I121" s="56">
        <v>25.18</v>
      </c>
      <c r="J121" s="56">
        <f t="shared" ref="J121:J122" si="10">G121*4+H121*9+I121*4</f>
        <v>159.07</v>
      </c>
      <c r="K121" s="44">
        <v>175</v>
      </c>
      <c r="L121" s="43">
        <v>7.41</v>
      </c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53">
        <v>204</v>
      </c>
      <c r="G122" s="54">
        <v>0.26</v>
      </c>
      <c r="H122" s="54">
        <v>0.06</v>
      </c>
      <c r="I122" s="54">
        <v>15.22</v>
      </c>
      <c r="J122" s="54">
        <f t="shared" si="10"/>
        <v>62.46</v>
      </c>
      <c r="K122" s="44">
        <v>377</v>
      </c>
      <c r="L122" s="43">
        <v>8.8699999999999992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53">
        <v>40</v>
      </c>
      <c r="G123" s="54">
        <f>1.52*F123/30</f>
        <v>2.0266666666666664</v>
      </c>
      <c r="H123" s="55">
        <f>0.16*F123/30</f>
        <v>0.21333333333333335</v>
      </c>
      <c r="I123" s="55">
        <f>9.84*F123/30</f>
        <v>13.120000000000001</v>
      </c>
      <c r="J123" s="55">
        <f>G123*4+H123*9+I123*4</f>
        <v>62.506666666666668</v>
      </c>
      <c r="K123" s="44" t="s">
        <v>43</v>
      </c>
      <c r="L123" s="43">
        <v>2.62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104</v>
      </c>
      <c r="F125" s="59">
        <v>40</v>
      </c>
      <c r="G125" s="54">
        <v>0.32</v>
      </c>
      <c r="H125" s="54">
        <v>0.04</v>
      </c>
      <c r="I125" s="54">
        <v>0.68</v>
      </c>
      <c r="J125" s="54">
        <f t="shared" ref="J125" si="11">G125*4+H125*9+I125*4</f>
        <v>4.3600000000000003</v>
      </c>
      <c r="K125" s="44">
        <v>70</v>
      </c>
      <c r="L125" s="43">
        <v>12</v>
      </c>
    </row>
    <row r="126" spans="1:12" ht="15" x14ac:dyDescent="0.25">
      <c r="A126" s="14"/>
      <c r="B126" s="15"/>
      <c r="C126" s="11"/>
      <c r="D126" s="6"/>
      <c r="E126" s="42" t="s">
        <v>45</v>
      </c>
      <c r="F126" s="43">
        <v>20</v>
      </c>
      <c r="G126" s="43">
        <v>4.6399999999999997</v>
      </c>
      <c r="H126" s="43">
        <v>6.8</v>
      </c>
      <c r="I126" s="43">
        <v>0.02</v>
      </c>
      <c r="J126" s="43">
        <v>79.84</v>
      </c>
      <c r="K126" s="44">
        <v>15</v>
      </c>
      <c r="L126" s="43">
        <v>14.13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544</v>
      </c>
      <c r="G127" s="19">
        <f>SUM(G120:G126)</f>
        <v>18.776666666666667</v>
      </c>
      <c r="H127" s="19">
        <f>SUM(H120:H126)</f>
        <v>22.753333333333334</v>
      </c>
      <c r="I127" s="19">
        <f>SUM(I120:I126)</f>
        <v>63.55</v>
      </c>
      <c r="J127" s="19">
        <f>SUM(J120:J126)</f>
        <v>534.08666666666659</v>
      </c>
      <c r="K127" s="25"/>
      <c r="L127" s="19">
        <f>SUM(L120:L126)</f>
        <v>65.8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80</v>
      </c>
      <c r="F128" s="65">
        <v>60</v>
      </c>
      <c r="G128" s="66">
        <f>1.5*F128/60</f>
        <v>1.5</v>
      </c>
      <c r="H128" s="65">
        <f>3.47*F128/60</f>
        <v>3.47</v>
      </c>
      <c r="I128" s="65">
        <f>6.77*F128/60</f>
        <v>6.77</v>
      </c>
      <c r="J128" s="54">
        <f>G128*4+H128*9+I128*4</f>
        <v>64.31</v>
      </c>
      <c r="K128" s="44">
        <v>67</v>
      </c>
      <c r="L128" s="43">
        <v>11</v>
      </c>
    </row>
    <row r="129" spans="1:12" ht="25.5" x14ac:dyDescent="0.25">
      <c r="A129" s="14"/>
      <c r="B129" s="15"/>
      <c r="C129" s="11"/>
      <c r="D129" s="7" t="s">
        <v>27</v>
      </c>
      <c r="E129" s="42" t="s">
        <v>56</v>
      </c>
      <c r="F129" s="43">
        <v>210</v>
      </c>
      <c r="G129" s="69">
        <v>6.9</v>
      </c>
      <c r="H129" s="43">
        <v>6.95</v>
      </c>
      <c r="I129" s="43">
        <v>18.760000000000002</v>
      </c>
      <c r="J129" s="43">
        <v>165.19</v>
      </c>
      <c r="K129" s="44">
        <v>113</v>
      </c>
      <c r="L129" s="43">
        <v>11.36</v>
      </c>
    </row>
    <row r="130" spans="1:12" ht="15" x14ac:dyDescent="0.25">
      <c r="A130" s="14"/>
      <c r="B130" s="15"/>
      <c r="C130" s="11"/>
      <c r="D130" s="7" t="s">
        <v>28</v>
      </c>
      <c r="E130" s="42" t="s">
        <v>81</v>
      </c>
      <c r="F130" s="53">
        <v>90</v>
      </c>
      <c r="G130" s="54">
        <f>F130*16.9/80</f>
        <v>19.012499999999996</v>
      </c>
      <c r="H130" s="54">
        <f>F130*9.66/80</f>
        <v>10.8675</v>
      </c>
      <c r="I130" s="54">
        <f>F130*0.15/80</f>
        <v>0.16875000000000001</v>
      </c>
      <c r="J130" s="54">
        <f t="shared" ref="J130:J132" si="12">G130*4+H130*9+I130*4</f>
        <v>174.5325</v>
      </c>
      <c r="K130" s="44">
        <v>293</v>
      </c>
      <c r="L130" s="43">
        <v>37</v>
      </c>
    </row>
    <row r="131" spans="1:12" ht="15" x14ac:dyDescent="0.25">
      <c r="A131" s="14"/>
      <c r="B131" s="15"/>
      <c r="C131" s="11"/>
      <c r="D131" s="7" t="s">
        <v>29</v>
      </c>
      <c r="E131" s="42" t="s">
        <v>73</v>
      </c>
      <c r="F131" s="53">
        <v>150</v>
      </c>
      <c r="G131" s="54">
        <f>2.77*F131/150</f>
        <v>2.77</v>
      </c>
      <c r="H131" s="54">
        <f>4.84*F131/150</f>
        <v>4.84</v>
      </c>
      <c r="I131" s="54">
        <f>10.78*F131/150</f>
        <v>10.78</v>
      </c>
      <c r="J131" s="54">
        <f t="shared" si="12"/>
        <v>97.759999999999991</v>
      </c>
      <c r="K131" s="44">
        <v>139</v>
      </c>
      <c r="L131" s="43">
        <v>8</v>
      </c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53">
        <v>200</v>
      </c>
      <c r="G132" s="54">
        <v>0.22</v>
      </c>
      <c r="H132" s="59"/>
      <c r="I132" s="54">
        <v>24.42</v>
      </c>
      <c r="J132" s="54">
        <f t="shared" si="12"/>
        <v>98.56</v>
      </c>
      <c r="K132" s="44">
        <v>349</v>
      </c>
      <c r="L132" s="43">
        <v>2.59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53">
        <v>40</v>
      </c>
      <c r="G133" s="54">
        <f>1.52*F133/30</f>
        <v>2.0266666666666664</v>
      </c>
      <c r="H133" s="55">
        <f>0.16*F133/30</f>
        <v>0.21333333333333335</v>
      </c>
      <c r="I133" s="55">
        <f>9.84*F133/30</f>
        <v>13.120000000000001</v>
      </c>
      <c r="J133" s="55">
        <f>G133*4+H133*9+I133*4</f>
        <v>62.506666666666668</v>
      </c>
      <c r="K133" s="44" t="s">
        <v>43</v>
      </c>
      <c r="L133" s="43">
        <v>2.62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53">
        <v>40</v>
      </c>
      <c r="G134" s="54">
        <v>2.64</v>
      </c>
      <c r="H134" s="55">
        <v>0.48</v>
      </c>
      <c r="I134" s="55">
        <v>13.68</v>
      </c>
      <c r="J134" s="55">
        <v>69.599999999999994</v>
      </c>
      <c r="K134" s="44" t="s">
        <v>43</v>
      </c>
      <c r="L134" s="43">
        <v>1.43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>SUM(G128:G136)</f>
        <v>35.069166666666661</v>
      </c>
      <c r="H137" s="19">
        <f>SUM(H128:H136)</f>
        <v>26.820833333333336</v>
      </c>
      <c r="I137" s="19">
        <f>SUM(I128:I136)</f>
        <v>87.69874999999999</v>
      </c>
      <c r="J137" s="19">
        <f>SUM(J128:J136)</f>
        <v>732.45916666666665</v>
      </c>
      <c r="K137" s="25"/>
      <c r="L137" s="19">
        <f>SUM(L128:L136)</f>
        <v>74.000000000000014</v>
      </c>
    </row>
    <row r="138" spans="1:12" ht="15.75" thickBot="1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1334</v>
      </c>
      <c r="G138" s="32">
        <f>G127+G137</f>
        <v>53.845833333333331</v>
      </c>
      <c r="H138" s="32">
        <f>H127+H137</f>
        <v>49.57416666666667</v>
      </c>
      <c r="I138" s="32">
        <f>I127+I137</f>
        <v>151.24874999999997</v>
      </c>
      <c r="J138" s="32">
        <f>J127+J137</f>
        <v>1266.5458333333331</v>
      </c>
      <c r="K138" s="32"/>
      <c r="L138" s="32">
        <f>L127+L137</f>
        <v>139.80000000000001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53">
        <v>200</v>
      </c>
      <c r="G139" s="54">
        <f>15.23*F139/170</f>
        <v>17.91764705882353</v>
      </c>
      <c r="H139" s="54">
        <f>17.48*F139/170</f>
        <v>20.564705882352943</v>
      </c>
      <c r="I139" s="54">
        <f>36.71*F139/170</f>
        <v>43.188235294117646</v>
      </c>
      <c r="J139" s="54">
        <f>G139*4+H139*9+I139*4</f>
        <v>429.50588235294117</v>
      </c>
      <c r="K139" s="41">
        <v>223</v>
      </c>
      <c r="L139" s="40">
        <v>24.85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105</v>
      </c>
      <c r="F141" s="53">
        <v>200</v>
      </c>
      <c r="G141" s="54">
        <v>0.2</v>
      </c>
      <c r="H141" s="54">
        <v>0.05</v>
      </c>
      <c r="I141" s="54">
        <v>15.01</v>
      </c>
      <c r="J141" s="54">
        <f>G141*4+H141*9+I141*4</f>
        <v>61.29</v>
      </c>
      <c r="K141" s="44">
        <v>376</v>
      </c>
      <c r="L141" s="43">
        <v>2.0299999999999998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53">
        <v>40</v>
      </c>
      <c r="G142" s="54">
        <f>1.52*F142/30</f>
        <v>2.0266666666666664</v>
      </c>
      <c r="H142" s="55">
        <f>0.16*F142/30</f>
        <v>0.21333333333333335</v>
      </c>
      <c r="I142" s="55">
        <f>9.84*F142/30</f>
        <v>13.120000000000001</v>
      </c>
      <c r="J142" s="55">
        <f>G142*4+H142*9+I142*4</f>
        <v>62.506666666666668</v>
      </c>
      <c r="K142" s="44" t="s">
        <v>43</v>
      </c>
      <c r="L142" s="43">
        <v>2.62</v>
      </c>
    </row>
    <row r="143" spans="1:12" ht="15" x14ac:dyDescent="0.25">
      <c r="A143" s="23"/>
      <c r="B143" s="15"/>
      <c r="C143" s="11"/>
      <c r="D143" s="7" t="s">
        <v>24</v>
      </c>
      <c r="E143" s="42" t="s">
        <v>99</v>
      </c>
      <c r="F143" s="53">
        <v>100</v>
      </c>
      <c r="G143" s="54">
        <f>F143*0.2/50</f>
        <v>0.4</v>
      </c>
      <c r="H143" s="59">
        <v>0.4</v>
      </c>
      <c r="I143" s="56">
        <v>9.8000000000000007</v>
      </c>
      <c r="J143" s="56">
        <f>G143*4+H143*9+I143*4</f>
        <v>44.400000000000006</v>
      </c>
      <c r="K143" s="44">
        <v>338</v>
      </c>
      <c r="L143" s="43">
        <v>26</v>
      </c>
    </row>
    <row r="144" spans="1:12" ht="15" x14ac:dyDescent="0.25">
      <c r="A144" s="23"/>
      <c r="B144" s="15"/>
      <c r="C144" s="11"/>
      <c r="D144" s="6"/>
      <c r="E144" s="42" t="s">
        <v>83</v>
      </c>
      <c r="F144" s="53">
        <v>30</v>
      </c>
      <c r="G144" s="54">
        <v>1.5</v>
      </c>
      <c r="H144" s="54"/>
      <c r="I144" s="54">
        <v>11.4</v>
      </c>
      <c r="J144" s="54">
        <f>G144*4+H144*9+I144*4</f>
        <v>51.6</v>
      </c>
      <c r="K144" s="44"/>
      <c r="L144" s="43">
        <v>10.3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>SUM(G139:G145)</f>
        <v>22.044313725490195</v>
      </c>
      <c r="H146" s="19">
        <f>SUM(H139:H145)</f>
        <v>21.228039215686277</v>
      </c>
      <c r="I146" s="19">
        <f>SUM(I139:I145)</f>
        <v>92.518235294117645</v>
      </c>
      <c r="J146" s="19">
        <f>SUM(J139:J145)</f>
        <v>649.30254901960791</v>
      </c>
      <c r="K146" s="25"/>
      <c r="L146" s="19">
        <f>SUM(L139:L145)</f>
        <v>65.8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46</v>
      </c>
      <c r="F147" s="53">
        <v>60</v>
      </c>
      <c r="G147" s="54">
        <f>0.9*F147/60</f>
        <v>0.9</v>
      </c>
      <c r="H147" s="54">
        <f>1.31*F147/60</f>
        <v>1.31</v>
      </c>
      <c r="I147" s="54">
        <f>5.6*F147/60</f>
        <v>5.6</v>
      </c>
      <c r="J147" s="54">
        <f t="shared" ref="J147:J149" si="13">G147*4+H147*9+I147*4</f>
        <v>37.79</v>
      </c>
      <c r="K147" s="44">
        <v>45</v>
      </c>
      <c r="L147" s="43">
        <v>4.4400000000000004</v>
      </c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59">
        <v>200</v>
      </c>
      <c r="G148" s="54">
        <f>2.52*F148/200</f>
        <v>2.52</v>
      </c>
      <c r="H148" s="55">
        <f>2.84*F148/200</f>
        <v>2.84</v>
      </c>
      <c r="I148" s="55">
        <f>16.67*F148/200</f>
        <v>16.670000000000002</v>
      </c>
      <c r="J148" s="54">
        <f t="shared" si="13"/>
        <v>102.32000000000001</v>
      </c>
      <c r="K148" s="44">
        <v>108</v>
      </c>
      <c r="L148" s="43">
        <v>14.2</v>
      </c>
    </row>
    <row r="149" spans="1:12" ht="15" x14ac:dyDescent="0.25">
      <c r="A149" s="23"/>
      <c r="B149" s="15"/>
      <c r="C149" s="11"/>
      <c r="D149" s="7" t="s">
        <v>28</v>
      </c>
      <c r="E149" s="42" t="s">
        <v>85</v>
      </c>
      <c r="F149" s="53">
        <v>240</v>
      </c>
      <c r="G149" s="54">
        <f>F149*14.27/200</f>
        <v>17.123999999999999</v>
      </c>
      <c r="H149" s="54">
        <f>F149*15.01/200</f>
        <v>18.012</v>
      </c>
      <c r="I149" s="54">
        <f>F149*25.51/200</f>
        <v>30.612000000000002</v>
      </c>
      <c r="J149" s="54">
        <f t="shared" si="13"/>
        <v>353.05200000000002</v>
      </c>
      <c r="K149" s="44">
        <v>259</v>
      </c>
      <c r="L149" s="43">
        <v>33.31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68</v>
      </c>
      <c r="F151" s="53">
        <v>200</v>
      </c>
      <c r="G151" s="54">
        <v>1</v>
      </c>
      <c r="H151" s="54">
        <v>0.2</v>
      </c>
      <c r="I151" s="54">
        <v>20.2</v>
      </c>
      <c r="J151" s="54">
        <f t="shared" ref="J151" si="14">G151*4+H151*9+I151*4</f>
        <v>86.6</v>
      </c>
      <c r="K151" s="44">
        <v>389</v>
      </c>
      <c r="L151" s="43">
        <v>18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53">
        <v>40</v>
      </c>
      <c r="G152" s="54">
        <f>1.52*F152/30</f>
        <v>2.0266666666666664</v>
      </c>
      <c r="H152" s="55">
        <f>0.16*F152/30</f>
        <v>0.21333333333333335</v>
      </c>
      <c r="I152" s="55">
        <f>9.84*F152/30</f>
        <v>13.120000000000001</v>
      </c>
      <c r="J152" s="55">
        <f>G152*4+H152*9+I152*4</f>
        <v>62.506666666666668</v>
      </c>
      <c r="K152" s="44" t="s">
        <v>43</v>
      </c>
      <c r="L152" s="43">
        <v>2.62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53">
        <v>40</v>
      </c>
      <c r="G153" s="54">
        <v>2.64</v>
      </c>
      <c r="H153" s="55">
        <v>0.48</v>
      </c>
      <c r="I153" s="55">
        <v>13.68</v>
      </c>
      <c r="J153" s="55">
        <v>69.599999999999994</v>
      </c>
      <c r="K153" s="44" t="s">
        <v>43</v>
      </c>
      <c r="L153" s="43">
        <v>1.43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>SUM(G147:G155)</f>
        <v>26.210666666666665</v>
      </c>
      <c r="H156" s="19">
        <f>SUM(H147:H155)</f>
        <v>23.055333333333333</v>
      </c>
      <c r="I156" s="19">
        <f>SUM(I147:I155)</f>
        <v>99.882000000000005</v>
      </c>
      <c r="J156" s="19">
        <f>SUM(J147:J155)</f>
        <v>711.86866666666674</v>
      </c>
      <c r="K156" s="25"/>
      <c r="L156" s="19">
        <f>SUM(L147:L155)</f>
        <v>74.000000000000014</v>
      </c>
    </row>
    <row r="157" spans="1:12" ht="15.75" thickBot="1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1350</v>
      </c>
      <c r="G157" s="32">
        <f>G146+G156</f>
        <v>48.25498039215686</v>
      </c>
      <c r="H157" s="32">
        <f>H146+H156</f>
        <v>44.28337254901961</v>
      </c>
      <c r="I157" s="32">
        <f>I146+I156</f>
        <v>192.40023529411764</v>
      </c>
      <c r="J157" s="32">
        <f>J146+J156</f>
        <v>1361.1712156862745</v>
      </c>
      <c r="K157" s="32"/>
      <c r="L157" s="32">
        <f>L146+L156</f>
        <v>139.80000000000001</v>
      </c>
    </row>
    <row r="158" spans="1:12" ht="27" customHeight="1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59">
        <v>100</v>
      </c>
      <c r="G158" s="54">
        <v>11.73</v>
      </c>
      <c r="H158" s="54">
        <v>14.08</v>
      </c>
      <c r="I158" s="54">
        <v>14.94</v>
      </c>
      <c r="J158" s="56">
        <f t="shared" ref="J158:J160" si="15">G158*4+H158*9+I158*4</f>
        <v>233.39999999999998</v>
      </c>
      <c r="K158" s="41">
        <v>279</v>
      </c>
      <c r="L158" s="40">
        <v>11.26</v>
      </c>
    </row>
    <row r="159" spans="1:12" ht="15" x14ac:dyDescent="0.25">
      <c r="A159" s="23"/>
      <c r="B159" s="15"/>
      <c r="C159" s="11"/>
      <c r="D159" s="6" t="s">
        <v>21</v>
      </c>
      <c r="E159" s="42" t="s">
        <v>49</v>
      </c>
      <c r="F159" s="53">
        <v>150</v>
      </c>
      <c r="G159" s="54">
        <f>5.7*F159/150</f>
        <v>5.7</v>
      </c>
      <c r="H159" s="54">
        <f>3.43*F159/150</f>
        <v>3.43</v>
      </c>
      <c r="I159" s="54">
        <f>36.45*F159/150</f>
        <v>36.450000000000003</v>
      </c>
      <c r="J159" s="54">
        <f t="shared" si="15"/>
        <v>199.47000000000003</v>
      </c>
      <c r="K159" s="44">
        <v>203</v>
      </c>
      <c r="L159" s="43">
        <v>7.4</v>
      </c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53">
        <v>200</v>
      </c>
      <c r="G160" s="54">
        <f>3.5*F160/200</f>
        <v>3.5</v>
      </c>
      <c r="H160" s="54">
        <f>3.7*F160/200</f>
        <v>3.7</v>
      </c>
      <c r="I160" s="54">
        <f>25.5*F160/200</f>
        <v>25.5</v>
      </c>
      <c r="J160" s="54">
        <f t="shared" si="15"/>
        <v>149.30000000000001</v>
      </c>
      <c r="K160" s="44">
        <v>382</v>
      </c>
      <c r="L160" s="43">
        <v>16.22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53">
        <v>40</v>
      </c>
      <c r="G161" s="54">
        <f>1.52*F161/30</f>
        <v>2.0266666666666664</v>
      </c>
      <c r="H161" s="55">
        <f>0.16*F161/30</f>
        <v>0.21333333333333335</v>
      </c>
      <c r="I161" s="55">
        <f>9.84*F161/30</f>
        <v>13.120000000000001</v>
      </c>
      <c r="J161" s="55">
        <f>G161*4+H161*9+I161*4</f>
        <v>62.506666666666668</v>
      </c>
      <c r="K161" s="44" t="s">
        <v>43</v>
      </c>
      <c r="L161" s="43">
        <v>2.62</v>
      </c>
    </row>
    <row r="162" spans="1:12" ht="15" x14ac:dyDescent="0.25">
      <c r="A162" s="23"/>
      <c r="B162" s="15"/>
      <c r="C162" s="11"/>
      <c r="D162" s="7" t="s">
        <v>24</v>
      </c>
      <c r="E162" s="42" t="s">
        <v>75</v>
      </c>
      <c r="F162" s="53">
        <v>100</v>
      </c>
      <c r="G162" s="54">
        <v>0.9</v>
      </c>
      <c r="H162" s="59">
        <v>0.2</v>
      </c>
      <c r="I162" s="56">
        <v>8.1</v>
      </c>
      <c r="J162" s="56">
        <f t="shared" ref="J162" si="16">G162*4+H162*9+I162*4</f>
        <v>37.799999999999997</v>
      </c>
      <c r="K162" s="44">
        <v>338</v>
      </c>
      <c r="L162" s="43">
        <v>23.5</v>
      </c>
    </row>
    <row r="163" spans="1:12" ht="15" x14ac:dyDescent="0.25">
      <c r="A163" s="23"/>
      <c r="B163" s="15"/>
      <c r="C163" s="11"/>
      <c r="D163" s="6"/>
      <c r="E163" s="42" t="s">
        <v>106</v>
      </c>
      <c r="F163" s="57">
        <v>30</v>
      </c>
      <c r="G163" s="58">
        <v>2.2000000000000002</v>
      </c>
      <c r="H163" s="58">
        <v>4.3</v>
      </c>
      <c r="I163" s="58">
        <v>12.3</v>
      </c>
      <c r="J163" s="58">
        <f t="shared" ref="J163" si="17">G163*4+H163*9+I163*4</f>
        <v>96.7</v>
      </c>
      <c r="K163" s="44">
        <v>198</v>
      </c>
      <c r="L163" s="43">
        <v>4.8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>SUM(G158:G164)</f>
        <v>26.056666666666665</v>
      </c>
      <c r="H165" s="19">
        <f>SUM(H158:H164)</f>
        <v>25.923333333333336</v>
      </c>
      <c r="I165" s="19">
        <f>SUM(I158:I164)</f>
        <v>110.41</v>
      </c>
      <c r="J165" s="19">
        <f>SUM(J158:J164)</f>
        <v>779.17666666666673</v>
      </c>
      <c r="K165" s="25"/>
      <c r="L165" s="19">
        <f>SUM(L158:L164)</f>
        <v>65.8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88</v>
      </c>
      <c r="F166" s="53">
        <v>60</v>
      </c>
      <c r="G166" s="54">
        <f>2.7*F166/60</f>
        <v>2.7</v>
      </c>
      <c r="H166" s="54">
        <f>4.7*F166/60</f>
        <v>4.7</v>
      </c>
      <c r="I166" s="54">
        <f>4.31*F166/60</f>
        <v>4.3099999999999996</v>
      </c>
      <c r="J166" s="54">
        <f t="shared" ref="J166:J169" si="18">G166*4+H166*9+I166*4</f>
        <v>70.34</v>
      </c>
      <c r="K166" s="44">
        <v>50</v>
      </c>
      <c r="L166" s="43">
        <v>7.75</v>
      </c>
    </row>
    <row r="167" spans="1:12" ht="25.5" x14ac:dyDescent="0.25">
      <c r="A167" s="23"/>
      <c r="B167" s="15"/>
      <c r="C167" s="11"/>
      <c r="D167" s="7" t="s">
        <v>27</v>
      </c>
      <c r="E167" s="42" t="s">
        <v>89</v>
      </c>
      <c r="F167" s="54">
        <v>210</v>
      </c>
      <c r="G167" s="54">
        <v>1.97</v>
      </c>
      <c r="H167" s="54">
        <v>5.18</v>
      </c>
      <c r="I167" s="54">
        <v>8.9700000000000006</v>
      </c>
      <c r="J167" s="54">
        <f t="shared" si="18"/>
        <v>90.38</v>
      </c>
      <c r="K167" s="44">
        <v>88</v>
      </c>
      <c r="L167" s="43">
        <v>20</v>
      </c>
    </row>
    <row r="168" spans="1:12" ht="15" x14ac:dyDescent="0.25">
      <c r="A168" s="23"/>
      <c r="B168" s="15"/>
      <c r="C168" s="11"/>
      <c r="D168" s="7" t="s">
        <v>28</v>
      </c>
      <c r="E168" s="42" t="s">
        <v>90</v>
      </c>
      <c r="F168" s="53">
        <v>90</v>
      </c>
      <c r="G168" s="54">
        <f>17.77*F168/80</f>
        <v>19.991250000000001</v>
      </c>
      <c r="H168" s="54">
        <f>9.32*F168/80</f>
        <v>10.485000000000001</v>
      </c>
      <c r="I168" s="54">
        <f>2.39*F168/80</f>
        <v>2.6887500000000002</v>
      </c>
      <c r="J168" s="54">
        <f t="shared" si="18"/>
        <v>185.08500000000001</v>
      </c>
      <c r="K168" s="44">
        <v>232</v>
      </c>
      <c r="L168" s="43">
        <v>28</v>
      </c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53">
        <v>150</v>
      </c>
      <c r="G169" s="54">
        <f>F169*3.29/150</f>
        <v>3.29</v>
      </c>
      <c r="H169" s="54">
        <f>F169*7.06/150</f>
        <v>7.06</v>
      </c>
      <c r="I169" s="54">
        <f>F169*22.21/150</f>
        <v>22.21</v>
      </c>
      <c r="J169" s="54">
        <f t="shared" si="18"/>
        <v>165.54000000000002</v>
      </c>
      <c r="K169" s="44">
        <v>312</v>
      </c>
      <c r="L169" s="43">
        <v>10</v>
      </c>
    </row>
    <row r="170" spans="1:12" ht="15" x14ac:dyDescent="0.25">
      <c r="A170" s="23"/>
      <c r="B170" s="15"/>
      <c r="C170" s="11"/>
      <c r="D170" s="7" t="s">
        <v>30</v>
      </c>
      <c r="E170" s="42" t="s">
        <v>107</v>
      </c>
      <c r="F170" s="53">
        <v>200</v>
      </c>
      <c r="G170" s="54"/>
      <c r="H170" s="59"/>
      <c r="I170" s="54">
        <v>18</v>
      </c>
      <c r="J170" s="54">
        <f>G170*4+H170*9+I170*4</f>
        <v>72</v>
      </c>
      <c r="K170" s="44">
        <v>350</v>
      </c>
      <c r="L170" s="43">
        <v>4.2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53">
        <v>40</v>
      </c>
      <c r="G171" s="54">
        <f>1.52*F171/30</f>
        <v>2.0266666666666664</v>
      </c>
      <c r="H171" s="55">
        <f>0.16*F171/30</f>
        <v>0.21333333333333335</v>
      </c>
      <c r="I171" s="55">
        <f>9.84*F171/30</f>
        <v>13.120000000000001</v>
      </c>
      <c r="J171" s="55">
        <f>G171*4+H171*9+I171*4</f>
        <v>62.506666666666668</v>
      </c>
      <c r="K171" s="44" t="s">
        <v>43</v>
      </c>
      <c r="L171" s="43">
        <v>2.62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53">
        <v>40</v>
      </c>
      <c r="G172" s="54">
        <v>2.64</v>
      </c>
      <c r="H172" s="55">
        <v>0.48</v>
      </c>
      <c r="I172" s="55">
        <v>13.68</v>
      </c>
      <c r="J172" s="55">
        <v>69.599999999999994</v>
      </c>
      <c r="K172" s="44" t="s">
        <v>43</v>
      </c>
      <c r="L172" s="43">
        <v>1.43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>SUM(G166:G174)</f>
        <v>32.617916666666666</v>
      </c>
      <c r="H175" s="19">
        <f>SUM(H166:H174)</f>
        <v>28.118333333333336</v>
      </c>
      <c r="I175" s="19">
        <f>SUM(I166:I174)</f>
        <v>82.978749999999991</v>
      </c>
      <c r="J175" s="19">
        <f>SUM(J166:J174)</f>
        <v>715.45166666666671</v>
      </c>
      <c r="K175" s="25"/>
      <c r="L175" s="19">
        <f>SUM(L166:L174)</f>
        <v>74.000000000000014</v>
      </c>
    </row>
    <row r="176" spans="1:12" ht="15.75" thickBot="1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1410</v>
      </c>
      <c r="G176" s="32">
        <f>G165+G175</f>
        <v>58.674583333333331</v>
      </c>
      <c r="H176" s="32">
        <f>H165+H175</f>
        <v>54.041666666666671</v>
      </c>
      <c r="I176" s="32">
        <f>I165+I175</f>
        <v>193.38874999999999</v>
      </c>
      <c r="J176" s="32">
        <f>J165+J175</f>
        <v>1494.6283333333336</v>
      </c>
      <c r="K176" s="32"/>
      <c r="L176" s="32">
        <f>L165+L175</f>
        <v>139.80000000000001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53">
        <v>200</v>
      </c>
      <c r="G177" s="54">
        <v>16.29</v>
      </c>
      <c r="H177" s="56">
        <v>18.989999999999998</v>
      </c>
      <c r="I177" s="56">
        <v>5.04</v>
      </c>
      <c r="J177" s="54">
        <f t="shared" ref="J177" si="19">G177*4+H177*9+I177*4</f>
        <v>256.23</v>
      </c>
      <c r="K177" s="41">
        <v>210</v>
      </c>
      <c r="L177" s="40">
        <v>28.27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61</v>
      </c>
      <c r="F179" s="53">
        <v>200</v>
      </c>
      <c r="G179" s="54">
        <v>0.2</v>
      </c>
      <c r="H179" s="54">
        <v>0.05</v>
      </c>
      <c r="I179" s="54">
        <v>15.01</v>
      </c>
      <c r="J179" s="54">
        <f t="shared" ref="J179" si="20">G179*4+H179*9+I179*4</f>
        <v>61.29</v>
      </c>
      <c r="K179" s="44">
        <v>376</v>
      </c>
      <c r="L179" s="43">
        <v>2.0299999999999998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53">
        <v>40</v>
      </c>
      <c r="G180" s="54">
        <f>1.52*F180/30</f>
        <v>2.0266666666666664</v>
      </c>
      <c r="H180" s="55">
        <f>0.16*F180/30</f>
        <v>0.21333333333333335</v>
      </c>
      <c r="I180" s="55">
        <f>9.84*F180/30</f>
        <v>13.120000000000001</v>
      </c>
      <c r="J180" s="55">
        <f>G180*4+H180*9+I180*4</f>
        <v>62.506666666666668</v>
      </c>
      <c r="K180" s="44" t="s">
        <v>43</v>
      </c>
      <c r="L180" s="43">
        <v>2.62</v>
      </c>
    </row>
    <row r="181" spans="1:12" ht="15" x14ac:dyDescent="0.25">
      <c r="A181" s="23"/>
      <c r="B181" s="15"/>
      <c r="C181" s="11"/>
      <c r="D181" s="7" t="s">
        <v>24</v>
      </c>
      <c r="E181" s="42" t="s">
        <v>99</v>
      </c>
      <c r="F181" s="53">
        <v>100</v>
      </c>
      <c r="G181" s="54">
        <v>0.4</v>
      </c>
      <c r="H181" s="59">
        <v>0.4</v>
      </c>
      <c r="I181" s="56">
        <v>9.8000000000000007</v>
      </c>
      <c r="J181" s="54">
        <f t="shared" ref="J181" si="21">G181*4+H181*9+I181*4</f>
        <v>44.400000000000006</v>
      </c>
      <c r="K181" s="44">
        <v>338</v>
      </c>
      <c r="L181" s="43">
        <v>13.5</v>
      </c>
    </row>
    <row r="182" spans="1:12" ht="15" x14ac:dyDescent="0.25">
      <c r="A182" s="23"/>
      <c r="B182" s="15"/>
      <c r="C182" s="11"/>
      <c r="D182" s="6"/>
      <c r="E182" s="42" t="s">
        <v>45</v>
      </c>
      <c r="F182" s="53">
        <v>20</v>
      </c>
      <c r="G182" s="54">
        <f>2.32*F182/10</f>
        <v>4.6399999999999997</v>
      </c>
      <c r="H182" s="54">
        <f>3.4*F182/10</f>
        <v>6.8</v>
      </c>
      <c r="I182" s="54">
        <f>0.01*F182/10</f>
        <v>0.02</v>
      </c>
      <c r="J182" s="54">
        <f t="shared" ref="J182:J183" si="22">G182*4+H182*9+I182*4</f>
        <v>79.839999999999989</v>
      </c>
      <c r="K182" s="44">
        <v>15</v>
      </c>
      <c r="L182" s="43">
        <v>14.13</v>
      </c>
    </row>
    <row r="183" spans="1:12" ht="15" x14ac:dyDescent="0.25">
      <c r="A183" s="23"/>
      <c r="B183" s="15"/>
      <c r="C183" s="11"/>
      <c r="D183" s="6"/>
      <c r="E183" s="42" t="s">
        <v>70</v>
      </c>
      <c r="F183" s="53">
        <v>20</v>
      </c>
      <c r="G183" s="54">
        <v>4.5999999999999996</v>
      </c>
      <c r="H183" s="59">
        <v>0.24</v>
      </c>
      <c r="I183" s="56">
        <v>10.66</v>
      </c>
      <c r="J183" s="56">
        <f t="shared" si="22"/>
        <v>63.2</v>
      </c>
      <c r="K183" s="44">
        <v>131</v>
      </c>
      <c r="L183" s="43">
        <v>5.25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67">
        <f>SUM(F177:F183)</f>
        <v>580</v>
      </c>
      <c r="G184" s="67">
        <f>SUM(G177:G183)</f>
        <v>28.156666666666666</v>
      </c>
      <c r="H184" s="67">
        <f>SUM(H177:H183)</f>
        <v>26.693333333333332</v>
      </c>
      <c r="I184" s="67">
        <f>SUM(I177:I183)</f>
        <v>53.650000000000006</v>
      </c>
      <c r="J184" s="67">
        <f>SUM(J177:J183)</f>
        <v>567.4666666666667</v>
      </c>
      <c r="K184" s="68"/>
      <c r="L184" s="19">
        <f>SUM(L177:L183)</f>
        <v>65.800000000000011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97</v>
      </c>
      <c r="F185" s="53">
        <v>60</v>
      </c>
      <c r="G185" s="54">
        <v>0.94</v>
      </c>
      <c r="H185" s="54">
        <v>2.1059999999999999</v>
      </c>
      <c r="I185" s="54">
        <v>2.661</v>
      </c>
      <c r="J185" s="54">
        <f t="shared" ref="J185:J188" si="23">G185*4+H185*9+I185*4</f>
        <v>33.357999999999997</v>
      </c>
      <c r="K185" s="44">
        <v>29</v>
      </c>
      <c r="L185" s="43">
        <v>10</v>
      </c>
    </row>
    <row r="186" spans="1:12" ht="15" x14ac:dyDescent="0.25">
      <c r="A186" s="23"/>
      <c r="B186" s="15"/>
      <c r="C186" s="11"/>
      <c r="D186" s="7" t="s">
        <v>27</v>
      </c>
      <c r="E186" s="42" t="s">
        <v>91</v>
      </c>
      <c r="F186" s="53">
        <v>200</v>
      </c>
      <c r="G186" s="54">
        <f>9.9*F186/200</f>
        <v>9.9</v>
      </c>
      <c r="H186" s="56">
        <f>8.9*F186/200</f>
        <v>8.9</v>
      </c>
      <c r="I186" s="56">
        <f>25.2*F186/200</f>
        <v>25.2</v>
      </c>
      <c r="J186" s="56">
        <f t="shared" si="23"/>
        <v>220.5</v>
      </c>
      <c r="K186" s="44">
        <v>103</v>
      </c>
      <c r="L186" s="43">
        <v>6</v>
      </c>
    </row>
    <row r="187" spans="1:12" ht="15" x14ac:dyDescent="0.25">
      <c r="A187" s="23"/>
      <c r="B187" s="15"/>
      <c r="C187" s="11"/>
      <c r="D187" s="7" t="s">
        <v>28</v>
      </c>
      <c r="E187" s="42" t="s">
        <v>92</v>
      </c>
      <c r="F187" s="59">
        <v>90</v>
      </c>
      <c r="G187" s="54">
        <f>15.24*F187/100</f>
        <v>13.715999999999999</v>
      </c>
      <c r="H187" s="56">
        <f>5.8*F187/100</f>
        <v>5.22</v>
      </c>
      <c r="I187" s="56">
        <f>10.16*F187/100</f>
        <v>9.1440000000000001</v>
      </c>
      <c r="J187" s="56">
        <f t="shared" si="23"/>
        <v>138.41999999999999</v>
      </c>
      <c r="K187" s="44">
        <v>295</v>
      </c>
      <c r="L187" s="43">
        <v>28.95</v>
      </c>
    </row>
    <row r="188" spans="1:12" ht="15" x14ac:dyDescent="0.25">
      <c r="A188" s="23"/>
      <c r="B188" s="15"/>
      <c r="C188" s="11"/>
      <c r="D188" s="7" t="s">
        <v>29</v>
      </c>
      <c r="E188" s="42" t="s">
        <v>93</v>
      </c>
      <c r="F188" s="53">
        <v>150</v>
      </c>
      <c r="G188" s="54">
        <v>6.57</v>
      </c>
      <c r="H188" s="54">
        <v>4.1900000000000004</v>
      </c>
      <c r="I188" s="54">
        <v>32.32</v>
      </c>
      <c r="J188" s="54">
        <f t="shared" si="23"/>
        <v>193.27</v>
      </c>
      <c r="K188" s="44">
        <v>171</v>
      </c>
      <c r="L188" s="43">
        <v>6</v>
      </c>
    </row>
    <row r="189" spans="1:12" ht="15" x14ac:dyDescent="0.25">
      <c r="A189" s="23"/>
      <c r="B189" s="15"/>
      <c r="C189" s="11"/>
      <c r="D189" s="7" t="s">
        <v>30</v>
      </c>
      <c r="E189" s="42" t="s">
        <v>68</v>
      </c>
      <c r="F189" s="53">
        <v>200</v>
      </c>
      <c r="G189" s="54">
        <v>1</v>
      </c>
      <c r="H189" s="54">
        <v>0.2</v>
      </c>
      <c r="I189" s="54">
        <v>20.2</v>
      </c>
      <c r="J189" s="54">
        <f>G189*4+H189*9+I189*4</f>
        <v>86.6</v>
      </c>
      <c r="K189" s="44">
        <v>389</v>
      </c>
      <c r="L189" s="43">
        <v>19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53">
        <v>40</v>
      </c>
      <c r="G190" s="54">
        <f>1.52*F190/30</f>
        <v>2.0266666666666664</v>
      </c>
      <c r="H190" s="55">
        <f>0.16*F190/30</f>
        <v>0.21333333333333335</v>
      </c>
      <c r="I190" s="55">
        <f>9.84*F190/30</f>
        <v>13.120000000000001</v>
      </c>
      <c r="J190" s="55">
        <f>G190*4+H190*9+I190*4</f>
        <v>62.506666666666668</v>
      </c>
      <c r="K190" s="44" t="s">
        <v>43</v>
      </c>
      <c r="L190" s="43">
        <v>2.62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53">
        <v>40</v>
      </c>
      <c r="G191" s="54">
        <v>2.64</v>
      </c>
      <c r="H191" s="55">
        <v>0.48</v>
      </c>
      <c r="I191" s="55">
        <v>13.68</v>
      </c>
      <c r="J191" s="55">
        <v>69.599999999999994</v>
      </c>
      <c r="K191" s="44" t="s">
        <v>43</v>
      </c>
      <c r="L191" s="43">
        <v>1.43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>SUM(G185:G193)</f>
        <v>36.792666666666662</v>
      </c>
      <c r="H194" s="19">
        <f>SUM(H185:H193)</f>
        <v>21.309333333333335</v>
      </c>
      <c r="I194" s="19">
        <f>SUM(I185:I193)</f>
        <v>116.32500000000002</v>
      </c>
      <c r="J194" s="19">
        <f>SUM(J185:J193)</f>
        <v>804.25466666666671</v>
      </c>
      <c r="K194" s="25"/>
      <c r="L194" s="19">
        <f>SUM(L185:L193)</f>
        <v>74.000000000000014</v>
      </c>
    </row>
    <row r="195" spans="1:12" ht="15.75" thickBot="1" x14ac:dyDescent="0.2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1360</v>
      </c>
      <c r="G195" s="32">
        <f>G184+G194</f>
        <v>64.949333333333328</v>
      </c>
      <c r="H195" s="32">
        <f>H184+H194</f>
        <v>48.00266666666667</v>
      </c>
      <c r="I195" s="32">
        <f>I184+I194</f>
        <v>169.97500000000002</v>
      </c>
      <c r="J195" s="32">
        <f>J184+J194</f>
        <v>1371.7213333333334</v>
      </c>
      <c r="K195" s="32"/>
      <c r="L195" s="32">
        <f>L184+L194</f>
        <v>139.80000000000001</v>
      </c>
    </row>
    <row r="196" spans="1:12" ht="13.5" thickBot="1" x14ac:dyDescent="0.25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1351.8</v>
      </c>
      <c r="G196" s="34">
        <f>(G24+G43+G62+G81+G100+G119+G138+G157+G176+G195)/(IF(G24=0,0,1)+IF(G43=0,0,1)+IF(G62=0,0,1)+IF(G81=0,0,1)+IF(G100=0,0,1)+IF(G119=0,0,1)+IF(G138=0,0,1)+IF(G157=0,0,1)+IF(G176=0,0,1)+IF(G195=0,0,1))</f>
        <v>53.552817156862751</v>
      </c>
      <c r="H196" s="34">
        <f>(H24+H43+H62+H81+H100+H119+H138+H157+H176+H195)/(IF(H24=0,0,1)+IF(H43=0,0,1)+IF(H62=0,0,1)+IF(H81=0,0,1)+IF(H100=0,0,1)+IF(H119=0,0,1)+IF(H138=0,0,1)+IF(H157=0,0,1)+IF(H176=0,0,1)+IF(H195=0,0,1))</f>
        <v>50.267646960784319</v>
      </c>
      <c r="I196" s="34">
        <f>(I24+I43+I62+I81+I100+I119+I138+I157+I176+I195)/(IF(I24=0,0,1)+IF(I43=0,0,1)+IF(I62=0,0,1)+IF(I81=0,0,1)+IF(I100=0,0,1)+IF(I119=0,0,1)+IF(I138=0,0,1)+IF(I157=0,0,1)+IF(I176=0,0,1)+IF(I195=0,0,1))</f>
        <v>179.29342735294117</v>
      </c>
      <c r="J196" s="34">
        <f>(J24+J43+J62+J81+J100+J119+J138+J157+J176+J195)/(IF(J24=0,0,1)+IF(J43=0,0,1)+IF(J62=0,0,1)+IF(J81=0,0,1)+IF(J100=0,0,1)+IF(J119=0,0,1)+IF(J138=0,0,1)+IF(J157=0,0,1)+IF(J176=0,0,1)+IF(J195=0,0,1))</f>
        <v>1383.7808006862747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139.79999999999998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360" verticalDpi="360" r:id="rId1"/>
  <rowBreaks count="2" manualBreakCount="2">
    <brk id="62" max="16383" man="1"/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2025-01-21T09:37:34Z</cp:lastPrinted>
  <dcterms:created xsi:type="dcterms:W3CDTF">2022-05-16T14:23:56Z</dcterms:created>
  <dcterms:modified xsi:type="dcterms:W3CDTF">2025-02-09T17:30:05Z</dcterms:modified>
</cp:coreProperties>
</file>